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24240" windowHeight="12240"/>
  </bookViews>
  <sheets>
    <sheet name="бюджет 2024 исполнение" sheetId="1" r:id="rId1"/>
  </sheets>
  <definedNames>
    <definedName name="_xlnm.Print_Titles" localSheetId="0">'бюджет 2024 исполнение'!$8:$8</definedName>
  </definedNames>
  <calcPr calcId="124519"/>
</workbook>
</file>

<file path=xl/calcChain.xml><?xml version="1.0" encoding="utf-8"?>
<calcChain xmlns="http://schemas.openxmlformats.org/spreadsheetml/2006/main">
  <c r="E93" i="1"/>
  <c r="D313"/>
  <c r="E316"/>
  <c r="E317"/>
  <c r="E314"/>
  <c r="D306"/>
  <c r="D305"/>
  <c r="E305" s="1"/>
  <c r="D299"/>
  <c r="E299" s="1"/>
  <c r="D293"/>
  <c r="D292"/>
  <c r="D276"/>
  <c r="E271"/>
  <c r="E272"/>
  <c r="E275"/>
  <c r="E266"/>
  <c r="E264"/>
  <c r="E258"/>
  <c r="D249"/>
  <c r="D241"/>
  <c r="E255"/>
  <c r="E244"/>
  <c r="E246"/>
  <c r="C218"/>
  <c r="E218" s="1"/>
  <c r="D215"/>
  <c r="E216"/>
  <c r="E217"/>
  <c r="E220"/>
  <c r="E222"/>
  <c r="E223"/>
  <c r="E226"/>
  <c r="E227"/>
  <c r="E228"/>
  <c r="E209"/>
  <c r="E207"/>
  <c r="E201"/>
  <c r="E199"/>
  <c r="E195"/>
  <c r="E191"/>
  <c r="E185"/>
  <c r="E168"/>
  <c r="E156"/>
  <c r="E138"/>
  <c r="E136"/>
  <c r="E135"/>
  <c r="E133"/>
  <c r="E131"/>
  <c r="E129"/>
  <c r="E94"/>
  <c r="E92"/>
  <c r="E91"/>
  <c r="E43"/>
  <c r="E40"/>
  <c r="E31"/>
  <c r="C113"/>
  <c r="E113" s="1"/>
  <c r="D257"/>
  <c r="E257" s="1"/>
  <c r="C257"/>
  <c r="C317"/>
  <c r="C313" s="1"/>
  <c r="C312"/>
  <c r="E312" s="1"/>
  <c r="C306"/>
  <c r="C305"/>
  <c r="C299"/>
  <c r="C293"/>
  <c r="C280"/>
  <c r="E280" s="1"/>
  <c r="E293" l="1"/>
  <c r="E249"/>
  <c r="E306"/>
  <c r="C278"/>
  <c r="E278" s="1"/>
  <c r="C253"/>
  <c r="E253" s="1"/>
  <c r="C249"/>
  <c r="C237"/>
  <c r="E237" s="1"/>
  <c r="C247"/>
  <c r="E247" s="1"/>
  <c r="C241"/>
  <c r="E241" s="1"/>
  <c r="C245"/>
  <c r="E245" s="1"/>
  <c r="C248"/>
  <c r="E248" s="1"/>
  <c r="C242"/>
  <c r="E242" s="1"/>
  <c r="C224"/>
  <c r="E224" s="1"/>
  <c r="C225"/>
  <c r="E225" s="1"/>
  <c r="C219"/>
  <c r="E219" s="1"/>
  <c r="C221"/>
  <c r="E221" s="1"/>
  <c r="C203"/>
  <c r="E203" s="1"/>
  <c r="C175"/>
  <c r="E175" s="1"/>
  <c r="C172"/>
  <c r="E172" s="1"/>
  <c r="C161"/>
  <c r="E161" s="1"/>
  <c r="C153"/>
  <c r="E153" s="1"/>
  <c r="C151"/>
  <c r="E151" s="1"/>
  <c r="C148"/>
  <c r="E148" s="1"/>
  <c r="C145"/>
  <c r="E145" s="1"/>
  <c r="C143"/>
  <c r="E143" s="1"/>
  <c r="C142"/>
  <c r="E142" s="1"/>
  <c r="C125"/>
  <c r="E125" s="1"/>
  <c r="C124"/>
  <c r="E124" s="1"/>
  <c r="C121"/>
  <c r="E121" s="1"/>
  <c r="C119"/>
  <c r="E119" s="1"/>
  <c r="C117"/>
  <c r="E117" s="1"/>
  <c r="C110"/>
  <c r="E110" s="1"/>
  <c r="C104"/>
  <c r="E104" s="1"/>
  <c r="C100"/>
  <c r="E100" s="1"/>
  <c r="C98"/>
  <c r="E98" s="1"/>
  <c r="C88"/>
  <c r="E88" s="1"/>
  <c r="C86"/>
  <c r="E86" s="1"/>
  <c r="C83"/>
  <c r="E83" s="1"/>
  <c r="C80"/>
  <c r="E80" s="1"/>
  <c r="C77"/>
  <c r="E77" s="1"/>
  <c r="C75"/>
  <c r="E75" s="1"/>
  <c r="C73"/>
  <c r="E73" s="1"/>
  <c r="C56"/>
  <c r="E56" s="1"/>
  <c r="C54"/>
  <c r="E54" s="1"/>
  <c r="C51"/>
  <c r="E51" s="1"/>
  <c r="C49"/>
  <c r="E49" s="1"/>
  <c r="C46"/>
  <c r="C45"/>
  <c r="E45" s="1"/>
  <c r="C38"/>
  <c r="E38" s="1"/>
  <c r="C36"/>
  <c r="E36" s="1"/>
  <c r="C33"/>
  <c r="E33" s="1"/>
  <c r="C29"/>
  <c r="E29" s="1"/>
  <c r="C26"/>
  <c r="E26" s="1"/>
  <c r="C20"/>
  <c r="E20" s="1"/>
  <c r="C19"/>
  <c r="E19" s="1"/>
  <c r="C16"/>
  <c r="E16" s="1"/>
  <c r="C13"/>
  <c r="E13" s="1"/>
  <c r="C292"/>
  <c r="E292" s="1"/>
  <c r="C279"/>
  <c r="E279" s="1"/>
  <c r="C277"/>
  <c r="E277" s="1"/>
  <c r="C276"/>
  <c r="E276" s="1"/>
  <c r="C262"/>
  <c r="E262" s="1"/>
  <c r="C240"/>
  <c r="E240" s="1"/>
  <c r="C214"/>
  <c r="E214" s="1"/>
  <c r="C230"/>
  <c r="E230" s="1"/>
  <c r="C229"/>
  <c r="E229" s="1"/>
  <c r="C215"/>
  <c r="E215" s="1"/>
  <c r="C158"/>
  <c r="E158" s="1"/>
  <c r="C127"/>
  <c r="E127" s="1"/>
  <c r="C122" l="1"/>
  <c r="E122" s="1"/>
  <c r="C107"/>
  <c r="E107" s="1"/>
  <c r="C70"/>
  <c r="E70" s="1"/>
  <c r="C22"/>
  <c r="E22" s="1"/>
  <c r="C17"/>
  <c r="E17" s="1"/>
  <c r="C15"/>
  <c r="E15" s="1"/>
  <c r="C14"/>
  <c r="E14" s="1"/>
  <c r="C274" l="1"/>
  <c r="E274" s="1"/>
  <c r="C273"/>
  <c r="E273" s="1"/>
  <c r="C270"/>
  <c r="E270" s="1"/>
  <c r="C238"/>
  <c r="E238" s="1"/>
  <c r="C236"/>
  <c r="E236" s="1"/>
  <c r="C239"/>
  <c r="E239" s="1"/>
  <c r="C197"/>
  <c r="E197" s="1"/>
  <c r="C213"/>
  <c r="E213" s="1"/>
  <c r="C231"/>
  <c r="C170"/>
  <c r="E170" s="1"/>
  <c r="C211" l="1"/>
  <c r="E313"/>
  <c r="F313"/>
  <c r="G313"/>
  <c r="H313"/>
  <c r="C311"/>
  <c r="C310" s="1"/>
  <c r="C309" s="1"/>
  <c r="C181"/>
  <c r="C21"/>
  <c r="C260"/>
  <c r="C193"/>
  <c r="D174"/>
  <c r="D311"/>
  <c r="D303"/>
  <c r="C303"/>
  <c r="C302" s="1"/>
  <c r="C301" s="1"/>
  <c r="F301"/>
  <c r="D296"/>
  <c r="C296"/>
  <c r="C295" s="1"/>
  <c r="C294" s="1"/>
  <c r="D290"/>
  <c r="C290"/>
  <c r="C289" s="1"/>
  <c r="C288" s="1"/>
  <c r="C281"/>
  <c r="C268" s="1"/>
  <c r="C267" s="1"/>
  <c r="D268"/>
  <c r="D265"/>
  <c r="E265" s="1"/>
  <c r="C265"/>
  <c r="D263"/>
  <c r="C263"/>
  <c r="D261"/>
  <c r="E261" s="1"/>
  <c r="C261"/>
  <c r="D259"/>
  <c r="D254"/>
  <c r="E254" s="1"/>
  <c r="C254"/>
  <c r="D252"/>
  <c r="C252"/>
  <c r="C243"/>
  <c r="H234"/>
  <c r="G234"/>
  <c r="F234"/>
  <c r="F211"/>
  <c r="D208"/>
  <c r="E208" s="1"/>
  <c r="C208"/>
  <c r="D206"/>
  <c r="C206"/>
  <c r="C205"/>
  <c r="C204" s="1"/>
  <c r="E204"/>
  <c r="D204"/>
  <c r="D202"/>
  <c r="E202" s="1"/>
  <c r="C202"/>
  <c r="D200"/>
  <c r="C200"/>
  <c r="D198"/>
  <c r="E198" s="1"/>
  <c r="C198"/>
  <c r="D196"/>
  <c r="C196"/>
  <c r="D194"/>
  <c r="E194" s="1"/>
  <c r="C194"/>
  <c r="D192"/>
  <c r="D190"/>
  <c r="C190"/>
  <c r="E188"/>
  <c r="D188"/>
  <c r="C188"/>
  <c r="D187"/>
  <c r="D186" s="1"/>
  <c r="C187"/>
  <c r="C186" s="1"/>
  <c r="E186"/>
  <c r="D184"/>
  <c r="C184"/>
  <c r="D183"/>
  <c r="D182" s="1"/>
  <c r="C183"/>
  <c r="C182" s="1"/>
  <c r="E182"/>
  <c r="D180"/>
  <c r="E178"/>
  <c r="D178"/>
  <c r="C178"/>
  <c r="E176"/>
  <c r="D176"/>
  <c r="C176"/>
  <c r="C174"/>
  <c r="H173"/>
  <c r="H165" s="1"/>
  <c r="G173"/>
  <c r="G165" s="1"/>
  <c r="G318" s="1"/>
  <c r="D171"/>
  <c r="C171"/>
  <c r="D169"/>
  <c r="E169" s="1"/>
  <c r="C169"/>
  <c r="D167"/>
  <c r="C167"/>
  <c r="E162"/>
  <c r="D162"/>
  <c r="D160" s="1"/>
  <c r="E160" s="1"/>
  <c r="C162"/>
  <c r="C160" s="1"/>
  <c r="D157"/>
  <c r="C157"/>
  <c r="D155"/>
  <c r="E155" s="1"/>
  <c r="C155"/>
  <c r="H152"/>
  <c r="G152"/>
  <c r="F152"/>
  <c r="D152"/>
  <c r="C152"/>
  <c r="D150"/>
  <c r="D149" s="1"/>
  <c r="C150"/>
  <c r="D147"/>
  <c r="C147"/>
  <c r="C146"/>
  <c r="C144" s="1"/>
  <c r="D144"/>
  <c r="D141"/>
  <c r="C141"/>
  <c r="C140"/>
  <c r="C139" s="1"/>
  <c r="E139"/>
  <c r="D139"/>
  <c r="D137"/>
  <c r="C137"/>
  <c r="D134"/>
  <c r="E134" s="1"/>
  <c r="C134"/>
  <c r="D132"/>
  <c r="C132"/>
  <c r="D130"/>
  <c r="E130" s="1"/>
  <c r="C130"/>
  <c r="D128"/>
  <c r="C128"/>
  <c r="C126"/>
  <c r="D126"/>
  <c r="D123"/>
  <c r="C123"/>
  <c r="D120"/>
  <c r="E120" s="1"/>
  <c r="C120"/>
  <c r="D118"/>
  <c r="C118"/>
  <c r="D116"/>
  <c r="E116" s="1"/>
  <c r="C116"/>
  <c r="D112"/>
  <c r="C112"/>
  <c r="C111" s="1"/>
  <c r="D109"/>
  <c r="C109"/>
  <c r="C108" s="1"/>
  <c r="D105"/>
  <c r="C105"/>
  <c r="C103"/>
  <c r="D103"/>
  <c r="D99"/>
  <c r="C99"/>
  <c r="D97"/>
  <c r="E97" s="1"/>
  <c r="C97"/>
  <c r="D93"/>
  <c r="D90" s="1"/>
  <c r="C93"/>
  <c r="C90" s="1"/>
  <c r="C89" s="1"/>
  <c r="D87"/>
  <c r="C87"/>
  <c r="D85"/>
  <c r="E85" s="1"/>
  <c r="C85"/>
  <c r="D82"/>
  <c r="C82"/>
  <c r="C81" s="1"/>
  <c r="D79"/>
  <c r="C79"/>
  <c r="C78" s="1"/>
  <c r="D76"/>
  <c r="C76"/>
  <c r="D74"/>
  <c r="E74" s="1"/>
  <c r="C74"/>
  <c r="D72"/>
  <c r="C72"/>
  <c r="C71" s="1"/>
  <c r="D69"/>
  <c r="E69" s="1"/>
  <c r="C69"/>
  <c r="E66"/>
  <c r="D66"/>
  <c r="C66"/>
  <c r="E64"/>
  <c r="D64"/>
  <c r="C64"/>
  <c r="E61"/>
  <c r="E60" s="1"/>
  <c r="D61"/>
  <c r="D60" s="1"/>
  <c r="C61"/>
  <c r="C60"/>
  <c r="C58"/>
  <c r="C57" s="1"/>
  <c r="C55" s="1"/>
  <c r="E57"/>
  <c r="D57"/>
  <c r="D55"/>
  <c r="D53"/>
  <c r="E53" s="1"/>
  <c r="C53"/>
  <c r="D50"/>
  <c r="C50"/>
  <c r="D48"/>
  <c r="E48" s="1"/>
  <c r="C48"/>
  <c r="D44"/>
  <c r="C44"/>
  <c r="D42"/>
  <c r="E42" s="1"/>
  <c r="C42"/>
  <c r="D39"/>
  <c r="C39"/>
  <c r="D37"/>
  <c r="E37" s="1"/>
  <c r="C37"/>
  <c r="D35"/>
  <c r="C35"/>
  <c r="D32"/>
  <c r="E32" s="1"/>
  <c r="C32"/>
  <c r="D28"/>
  <c r="C28"/>
  <c r="D25"/>
  <c r="E25" s="1"/>
  <c r="C25"/>
  <c r="H24"/>
  <c r="H23" s="1"/>
  <c r="G24"/>
  <c r="G23" s="1"/>
  <c r="F24"/>
  <c r="F23" s="1"/>
  <c r="D21"/>
  <c r="D12"/>
  <c r="C12"/>
  <c r="C11" s="1"/>
  <c r="C234" l="1"/>
  <c r="C233" s="1"/>
  <c r="C232" s="1"/>
  <c r="E243"/>
  <c r="C259"/>
  <c r="E260"/>
  <c r="C192"/>
  <c r="E192" s="1"/>
  <c r="E193"/>
  <c r="E72"/>
  <c r="D71"/>
  <c r="C180"/>
  <c r="E181"/>
  <c r="E55"/>
  <c r="E180"/>
  <c r="E144"/>
  <c r="E21"/>
  <c r="E76"/>
  <c r="E87"/>
  <c r="E126"/>
  <c r="E141"/>
  <c r="E147"/>
  <c r="E152"/>
  <c r="E167"/>
  <c r="E171"/>
  <c r="E196"/>
  <c r="E200"/>
  <c r="E252"/>
  <c r="E174"/>
  <c r="D295"/>
  <c r="E295" s="1"/>
  <c r="E296"/>
  <c r="E28"/>
  <c r="E35"/>
  <c r="E39"/>
  <c r="E44"/>
  <c r="E50"/>
  <c r="C63"/>
  <c r="E99"/>
  <c r="E105"/>
  <c r="E118"/>
  <c r="E123"/>
  <c r="E128"/>
  <c r="E132"/>
  <c r="E137"/>
  <c r="E157"/>
  <c r="E184"/>
  <c r="E190"/>
  <c r="E206"/>
  <c r="E263"/>
  <c r="C256"/>
  <c r="D310"/>
  <c r="E311"/>
  <c r="D302"/>
  <c r="E303"/>
  <c r="D289"/>
  <c r="E290"/>
  <c r="D267"/>
  <c r="E267" s="1"/>
  <c r="E268"/>
  <c r="E259"/>
  <c r="E150"/>
  <c r="D111"/>
  <c r="E111" s="1"/>
  <c r="E112"/>
  <c r="D108"/>
  <c r="E108" s="1"/>
  <c r="E109"/>
  <c r="D102"/>
  <c r="E103"/>
  <c r="D89"/>
  <c r="E89" s="1"/>
  <c r="E90"/>
  <c r="D78"/>
  <c r="E78" s="1"/>
  <c r="E79"/>
  <c r="D81"/>
  <c r="E81" s="1"/>
  <c r="E82"/>
  <c r="D11"/>
  <c r="E11" s="1"/>
  <c r="E12"/>
  <c r="E63"/>
  <c r="E59" s="1"/>
  <c r="D84"/>
  <c r="E84" s="1"/>
  <c r="C84"/>
  <c r="D211"/>
  <c r="D96"/>
  <c r="E96" s="1"/>
  <c r="D234"/>
  <c r="C24"/>
  <c r="C23" s="1"/>
  <c r="D47"/>
  <c r="D115"/>
  <c r="E115" s="1"/>
  <c r="C154"/>
  <c r="C52"/>
  <c r="D24"/>
  <c r="D154"/>
  <c r="E154" s="1"/>
  <c r="C210"/>
  <c r="C149"/>
  <c r="E149" s="1"/>
  <c r="C102"/>
  <c r="C101" s="1"/>
  <c r="D52"/>
  <c r="C59"/>
  <c r="D63"/>
  <c r="D59" s="1"/>
  <c r="C96"/>
  <c r="C166"/>
  <c r="D166"/>
  <c r="E166" s="1"/>
  <c r="C47"/>
  <c r="C41" s="1"/>
  <c r="C115"/>
  <c r="H164"/>
  <c r="H318"/>
  <c r="G164"/>
  <c r="D294" l="1"/>
  <c r="E294" s="1"/>
  <c r="E52"/>
  <c r="E102"/>
  <c r="C173"/>
  <c r="C165" s="1"/>
  <c r="C164" s="1"/>
  <c r="D309"/>
  <c r="E309" s="1"/>
  <c r="E310"/>
  <c r="D301"/>
  <c r="E301" s="1"/>
  <c r="E302"/>
  <c r="D288"/>
  <c r="E288" s="1"/>
  <c r="E289"/>
  <c r="D256"/>
  <c r="E256" s="1"/>
  <c r="D233"/>
  <c r="E234"/>
  <c r="D210"/>
  <c r="E211"/>
  <c r="D101"/>
  <c r="E101" s="1"/>
  <c r="D68"/>
  <c r="E68" s="1"/>
  <c r="E71"/>
  <c r="D41"/>
  <c r="E41" s="1"/>
  <c r="E47"/>
  <c r="D23"/>
  <c r="E23" s="1"/>
  <c r="E24"/>
  <c r="C68"/>
  <c r="D114"/>
  <c r="E114" s="1"/>
  <c r="C114"/>
  <c r="D232" l="1"/>
  <c r="E232" s="1"/>
  <c r="E233"/>
  <c r="D173"/>
  <c r="E210"/>
  <c r="D10"/>
  <c r="E10" s="1"/>
  <c r="C10"/>
  <c r="C318" s="1"/>
  <c r="F165"/>
  <c r="F318" s="1"/>
  <c r="E173" l="1"/>
  <c r="D165"/>
  <c r="D164" s="1"/>
  <c r="F164"/>
  <c r="E165" l="1"/>
  <c r="E164" l="1"/>
  <c r="D318"/>
  <c r="E318" s="1"/>
</calcChain>
</file>

<file path=xl/comments1.xml><?xml version="1.0" encoding="utf-8"?>
<comments xmlns="http://schemas.openxmlformats.org/spreadsheetml/2006/main">
  <authors>
    <author>ИвановаИА</author>
    <author>Ирина Анатольевна Иванова</author>
  </authors>
  <commentList>
    <comment ref="F172" authorId="0">
      <text>
        <r>
          <rPr>
            <b/>
            <sz val="9"/>
            <color indexed="81"/>
            <rFont val="Tahoma"/>
            <family val="2"/>
            <charset val="204"/>
          </rPr>
          <t>ИвановаИА: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на стимулирование увеличения численности самозанятых граждан и поступлений налога на профессиональный доход граждан</t>
        </r>
      </text>
    </comment>
    <comment ref="C215" authorId="1">
      <text>
        <r>
          <rPr>
            <b/>
            <sz val="9"/>
            <color indexed="81"/>
            <rFont val="Tahoma"/>
            <family val="2"/>
            <charset val="204"/>
          </rPr>
          <t>Ирина Анатольевна Иванова:</t>
        </r>
        <r>
          <rPr>
            <sz val="9"/>
            <color indexed="81"/>
            <rFont val="Tahoma"/>
            <family val="2"/>
            <charset val="204"/>
          </rPr>
          <t xml:space="preserve">
изменился ГРБС с 825 на 808</t>
        </r>
      </text>
    </comment>
  </commentList>
</comments>
</file>

<file path=xl/sharedStrings.xml><?xml version="1.0" encoding="utf-8"?>
<sst xmlns="http://schemas.openxmlformats.org/spreadsheetml/2006/main" count="564" uniqueCount="550">
  <si>
    <t xml:space="preserve"> </t>
  </si>
  <si>
    <t>к решению Собрания депутатов</t>
  </si>
  <si>
    <t>(руб.)</t>
  </si>
  <si>
    <t>Код  бюджетной классификации</t>
  </si>
  <si>
    <t>Наименование групп, подгрупп, статей и подстатей классификации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</si>
  <si>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</si>
  <si>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</si>
  <si>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</si>
  <si>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</si>
  <si>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</si>
  <si>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</si>
  <si>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</si>
  <si>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</si>
  <si>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практиков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</si>
  <si>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</si>
  <si>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</si>
  <si>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</si>
  <si>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</si>
  <si>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</si>
  <si>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</si>
  <si>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</si>
  <si>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</si>
  <si>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</si>
  <si>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</si>
  <si>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</si>
  <si>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</si>
  <si>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</si>
  <si>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</si>
  <si>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</si>
  <si>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</si>
  <si>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</si>
  <si>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</si>
  <si>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</si>
  <si>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</si>
  <si>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</si>
  <si>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 </t>
  </si>
  <si>
    <t>1 05 01012 01 0000 110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</si>
  <si>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</si>
  <si>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</si>
  <si>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</si>
  <si>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</si>
  <si>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</si>
  <si>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</si>
  <si>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 (за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</si>
  <si>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</si>
  <si>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</si>
  <si>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</si>
  <si>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</si>
  <si>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</si>
  <si>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</si>
  <si>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</si>
  <si>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</si>
  <si>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</si>
  <si>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</si>
  <si>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</si>
  <si>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</si>
  <si>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</si>
  <si>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</si>
  <si>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1 05 06000 01 0000 110</t>
  </si>
  <si>
    <t>Налог на профессиональный доход</t>
  </si>
  <si>
    <t>1 05 06000 01 1000 110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</si>
  <si>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</si>
  <si>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</si>
  <si>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</si>
  <si>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</si>
  <si>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</si>
  <si>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</si>
  <si>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</si>
  <si>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</si>
  <si>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</si>
  <si>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</si>
  <si>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</si>
  <si>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</si>
  <si>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</si>
  <si>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</si>
  <si>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</si>
  <si>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</si>
  <si>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</si>
  <si>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</si>
  <si>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</si>
  <si>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</si>
  <si>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</si>
  <si>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</si>
  <si>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</si>
  <si>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</si>
  <si>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</si>
  <si>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</si>
  <si>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</si>
  <si>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</si>
  <si>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</si>
  <si>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</si>
  <si>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</si>
  <si>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</si>
  <si>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</si>
  <si>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</si>
  <si>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</si>
  <si>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</si>
  <si>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</si>
  <si>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</si>
  <si>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</si>
  <si>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</si>
  <si>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</si>
  <si>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 1 января 2006 года)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</si>
  <si>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</si>
  <si>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</si>
  <si>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1 09 07000 00 0000 110</t>
  </si>
  <si>
    <t xml:space="preserve">Прочие налоги и сборы (по отмененным местным налогам и сборам)
</t>
  </si>
  <si>
    <t>1 09 07030 00 0000 110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</si>
  <si>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</si>
  <si>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1 09 07032 04 0000 110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</si>
  <si>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</si>
  <si>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1 09 07050 00 0000 110</t>
  </si>
  <si>
    <t>Прочие местные налоги и сборы, мобилизуемые на территориях городских округов</t>
  </si>
  <si>
    <t>1 09 07052 04 0000 110</t>
  </si>
  <si>
    <t xml:space="preserve">Прочие местные налоги и сборы, мобилизуемые на территориях городских округов
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</si>
  <si>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</si>
  <si>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</si>
  <si>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</si>
  <si>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</si>
  <si>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</si>
  <si>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</si>
  <si>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</si>
  <si>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</si>
  <si>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</si>
  <si>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</si>
  <si>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</si>
  <si>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</si>
  <si>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</si>
  <si>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   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</si>
  <si>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</si>
  <si>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</si>
  <si>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</si>
  <si>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</si>
  <si>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</si>
  <si>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</si>
  <si>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1 11 05400 00 0000 120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</si>
  <si>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
</t>
  </si>
  <si>
    <t>1 11 05410 00 0000 120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</si>
  <si>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
</t>
  </si>
  <si>
    <t>1 11 05410 04 0000 120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</si>
  <si>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</si>
  <si>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</si>
  <si>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</si>
  <si>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</si>
  <si>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</si>
  <si>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</si>
  <si>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</si>
  <si>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</si>
  <si>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</si>
  <si>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</si>
  <si>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</si>
  <si>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</si>
  <si>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</si>
  <si>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</si>
  <si>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</si>
  <si>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</si>
  <si>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</si>
  <si>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</si>
  <si>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</si>
  <si>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</si>
  <si>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</si>
  <si>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</si>
  <si>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</si>
  <si>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</si>
  <si>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</si>
  <si>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</si>
  <si>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</si>
  <si>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</si>
  <si>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</si>
  <si>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</si>
  <si>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 xml:space="preserve">Плата за размещение твердых коммунальных отходов </t>
  </si>
  <si>
    <t>1 13 00000 00 0000 000</t>
  </si>
  <si>
    <t>ДОХОДЫ ОТ ОКАЗАНИЯ ПЛАТНЫХ УСЛУГ И КОМПЕНСАЦИИ ЗАТРАТ ГОСУДАРСТВА</t>
  </si>
  <si>
    <t>1 13 01990 00 0000 130</t>
  </si>
  <si>
    <t>Прочие доходы от оказания платных услуг (работ)</t>
  </si>
  <si>
    <t>1 13 01994 04 0000 130</t>
  </si>
  <si>
    <t xml:space="preserve">Прочие доходы от оказания платных услуг (работ) получателями средств бюджетов  городских округов 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</si>
  <si>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</si>
  <si>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</si>
  <si>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</si>
  <si>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</si>
  <si>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</si>
  <si>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</si>
  <si>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</si>
  <si>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</si>
  <si>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</si>
  <si>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</si>
  <si>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</si>
  <si>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</si>
  <si>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</si>
  <si>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 xml:space="preserve"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</si>
  <si>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1 14 02042 04 0000 440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</si>
  <si>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</si>
  <si>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1 14 02043 04 0000 440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</si>
  <si>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</si>
  <si>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</si>
  <si>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</si>
  <si>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</si>
  <si>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</si>
  <si>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</si>
  <si>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</si>
  <si>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</si>
  <si>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</si>
  <si>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</si>
  <si>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</si>
  <si>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</si>
  <si>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</si>
  <si>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</si>
  <si>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</si>
  <si>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</si>
  <si>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</si>
  <si>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</si>
  <si>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</si>
  <si>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</si>
  <si>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</si>
  <si>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</si>
  <si>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</si>
  <si>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</si>
  <si>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</si>
  <si>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</si>
  <si>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</si>
  <si>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</si>
  <si>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</si>
  <si>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</si>
  <si>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</si>
  <si>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</si>
  <si>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</si>
  <si>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</si>
  <si>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</si>
  <si>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</si>
  <si>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</si>
  <si>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</si>
  <si>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</si>
  <si>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</si>
  <si>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</si>
  <si>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1 16 01100 01 0000 140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</si>
  <si>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</si>
  <si>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>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</si>
  <si>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</si>
  <si>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</si>
  <si>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</si>
  <si>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</si>
  <si>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</si>
  <si>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</si>
  <si>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</si>
  <si>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</si>
  <si>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</si>
  <si>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</si>
  <si>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</si>
  <si>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</si>
  <si>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</si>
  <si>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</si>
  <si>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</si>
  <si>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</si>
  <si>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</si>
  <si>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</si>
  <si>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</si>
  <si>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</si>
  <si>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</si>
  <si>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</si>
  <si>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</si>
  <si>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</si>
  <si>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</si>
  <si>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</si>
  <si>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</si>
  <si>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</si>
  <si>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</si>
  <si>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</si>
  <si>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</si>
  <si>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</si>
  <si>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</si>
  <si>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</si>
  <si>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</si>
  <si>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</si>
  <si>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</si>
  <si>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</si>
  <si>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</si>
  <si>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</si>
  <si>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</si>
  <si>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</si>
  <si>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</si>
  <si>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</si>
  <si>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</si>
  <si>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</si>
  <si>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</si>
  <si>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>1 16 07090 04 0000 140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</si>
  <si>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</si>
  <si>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</si>
  <si>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</si>
  <si>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</si>
  <si>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</si>
  <si>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</si>
  <si>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</si>
  <si>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</si>
  <si>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</si>
  <si>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</si>
  <si>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</si>
  <si>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</si>
  <si>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
</t>
  </si>
  <si>
    <t>1 16 11000 01 0000 140</t>
  </si>
  <si>
    <t>Платежи, уплачиваемые в целях возмещения вреда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</si>
  <si>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</si>
  <si>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</si>
  <si>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</si>
  <si>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</si>
  <si>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</si>
  <si>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</si>
  <si>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</si>
  <si>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</si>
  <si>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</si>
  <si>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</si>
  <si>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</si>
  <si>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</si>
  <si>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</si>
  <si>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</si>
  <si>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</si>
  <si>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</si>
  <si>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</si>
  <si>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Дотация бюджетам  на поддержку мер по обеспечению сбалансированности бюджетов</t>
  </si>
  <si>
    <t>2 02 15002 04 0000 150</t>
  </si>
  <si>
    <t>Дотация бюджетам городских округов на поддержку мер по обеспечению сбалансированности бюджетов</t>
  </si>
  <si>
    <t>2 02 19999 00 0000 150</t>
  </si>
  <si>
    <t>Прочие дотации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</si>
  <si>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</si>
  <si>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</si>
  <si>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</si>
  <si>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</si>
  <si>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</si>
  <si>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</si>
  <si>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</si>
  <si>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</si>
  <si>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</si>
  <si>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</si>
  <si>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</si>
  <si>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</si>
  <si>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2 02 25 113 00 0000 150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</si>
  <si>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</si>
  <si>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2 02 25 113 04 0000 150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</si>
  <si>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</t>
  </si>
  <si>
    <t>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</si>
  <si>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</si>
  <si>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</si>
  <si>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</si>
  <si>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</si>
  <si>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</si>
  <si>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</si>
  <si>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</si>
  <si>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2 02 25172 00 0000 150  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</si>
  <si>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</si>
  <si>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2 02 25172 04 0000 150 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</si>
  <si>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</si>
  <si>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</si>
  <si>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</si>
  <si>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2 02 25210 04 0000 150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</si>
  <si>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</si>
  <si>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</si>
  <si>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</si>
  <si>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</si>
  <si>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</si>
  <si>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2 02 25213 00 0000 150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</si>
  <si>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</si>
  <si>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2 02 25213 04 0000 150   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</si>
  <si>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</si>
  <si>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</si>
  <si>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</si>
  <si>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</si>
  <si>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</si>
  <si>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</si>
  <si>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</si>
  <si>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</si>
  <si>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</si>
  <si>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</si>
  <si>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</si>
  <si>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</si>
  <si>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</si>
  <si>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</si>
  <si>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</si>
  <si>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2 02 25511 04 0000 150</t>
  </si>
  <si>
    <t>Субсидии бюджетам городских округов на проведение комплексных кадастровых работ</t>
  </si>
  <si>
    <t>2 02 25519 00 0000 150</t>
  </si>
  <si>
    <t>Субсидия бюджетам на поддержку отрасли культуры</t>
  </si>
  <si>
    <t>2 02 25519 04 0000 150</t>
  </si>
  <si>
    <t>Субсидия бюджетам городских округов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</si>
  <si>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</si>
  <si>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</si>
  <si>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</si>
  <si>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</si>
  <si>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2 02 25597 00 0000 150
</t>
  </si>
  <si>
    <t>Субсидии бюджетам на реконструкцию и капитальный ремонт муниципальных музеев</t>
  </si>
  <si>
    <t xml:space="preserve">2 02 25597 04 0000 150
</t>
  </si>
  <si>
    <t>Субсидии бюджетам городских округов на реконструкцию и капитальный ремонт муниципальных музеев</t>
  </si>
  <si>
    <t>2 02 25590 00 0000 150</t>
  </si>
  <si>
    <t>Субсидии бюджетам на техническое оснащение региональных и муниципальных музеев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</si>
  <si>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</si>
  <si>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</si>
  <si>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</si>
  <si>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</si>
  <si>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</si>
  <si>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</si>
  <si>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</si>
  <si>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</si>
  <si>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2 02 29999 04 0000 150</t>
  </si>
  <si>
    <t>Прочие субсидии бюджетам городских округов</t>
  </si>
  <si>
    <t>в том числе</t>
  </si>
  <si>
    <t>Субсидии бюджетам муниципальных образований на укрепление материально-технической базы муниципальных образовательных организаций (за исключением капитальных вложений)</t>
  </si>
  <si>
    <t>Субсидии бюджетам муниципальных образований на реализацию мероприятий по комплексной борьбе с борщевиком Сосновского</t>
  </si>
  <si>
    <t xml:space="preserve">Субсидии бюджетам муниципальных образований на проведение оздоровительной кампании детей
</t>
  </si>
  <si>
    <t>Субсидии  на мероприятие "Благоустройство территорий общего пользования населенного пункта и дворовых территорий многоквартирных домов"</t>
  </si>
  <si>
    <t>Субсидии на реализацию мероприятий по созданию автоматизированной системы учета энергоресурсов</t>
  </si>
  <si>
    <t xml:space="preserve">Субсидии на строительство (реконструкцию), модернизацию, капитальный ремонт и ремонт объектов коммунальной инфраструктуры </t>
  </si>
  <si>
    <t>Субсидии на укрепление материально-технической базы учреждений культуры муниципальных образований</t>
  </si>
  <si>
    <t>Субсидии  на реализацию проекта "Народный бюджет»</t>
  </si>
  <si>
    <t>Субсидии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</si>
  <si>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Субсидии  на капитальный ремонт спортивных объектов, находящихся в муниципальной собственности</t>
  </si>
  <si>
    <t>Субсидии на мероприятия по благоустройству территорий общего пользования населенного пункта и дворовых территорий многоквартирных домов</t>
  </si>
  <si>
    <t>Субсидии в целях создания (обустройства) мест(площадок) накопления твердых коммунальных отходов</t>
  </si>
  <si>
    <t xml:space="preserve">Субсидии на оказание поддержки граждан и их объединений, участвующих в охране общественного порядка </t>
  </si>
  <si>
    <t>Субсидия в целях реализауии мероприятий по организации видеонаблюдения на контейнерных площадках</t>
  </si>
  <si>
    <t>Субсидии из бюджета ТО на удаление (ликвидацию) мест несанкцинированного размещения отходов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</si>
  <si>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</si>
  <si>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</si>
  <si>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</si>
  <si>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</si>
  <si>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</si>
  <si>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</si>
  <si>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Субвенция на осуществл гос полномочий по выплате компенсации за работу по подготовке и проведению ГИА</t>
  </si>
  <si>
    <t>Субвенции на реализацию Закона Тульской области «Об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комиссий»</t>
  </si>
  <si>
    <t xml:space="preserve">Субвенции на реализацию Закона Тульской области «О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прав» </t>
  </si>
  <si>
    <t>Субвенции на реализацию Закона Тульской области «О наделении органов местного самоуправления государственными полномочиями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программам»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</si>
  <si>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</si>
  <si>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Субвенция на реализацию ЗТО "О наделении ОМС гос. полномоч. по предостав. мер соц.поддержки работникам муниципальных библиотек, муниципальных музеев и их филиалов, а также государственным полномочием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филиалов"</t>
  </si>
  <si>
    <t>Субвенции на реализацию Закона Тульской области «О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 юридической помощи в виде правового консультирования в устной и письменной форме некоторых категорий граждан»</t>
  </si>
  <si>
    <t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</si>
  <si>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Субвенции на реализацию Закона Тульской области «О наделении органов местного самоуправления отдельными государственными полномочиями по предоставлению меры социальной поддержки родителям(законным представителям) детей, обучающихся по основным общеобразовательным программам в форме семейного образования"</t>
  </si>
  <si>
    <t>Субвенция ЗТО "О наделении ОМСУ отдельными государственными полномочиями по осуществлению уведомительной регистрации коллективных договоров</t>
  </si>
  <si>
    <t>Субвенция для осуществления государственных полномочий по предоставлению путевок в организации отдыха и оздоровления детей отдельным категориям граждан</t>
  </si>
  <si>
    <t>Субвенция на осуществление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</si>
  <si>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 xml:space="preserve">Субвенции на реализацию Федерального закона  «Об образовании в Российской Федерации»  </t>
  </si>
  <si>
    <t>Субвенции на осуществление государственного полномочия по финансовому обеспечению реализации  дополнительной меры социальной поддержки, предоставляемой отдельным категориям граждан в виде   освобождения от платы, взимаемой за присмотр и уход за ребенком в муниципальных образовательных организациях, источником финансового обеспечения которых являются бюджетные ассигнования резервного фонда правительства Тульской области</t>
  </si>
  <si>
    <t>Субвенции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</si>
  <si>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</si>
  <si>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</si>
  <si>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</si>
  <si>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</si>
  <si>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</si>
  <si>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</si>
  <si>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</si>
  <si>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</si>
  <si>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2 02 40000 00 0000 150</t>
  </si>
  <si>
    <t>ИНЫЕ МЕЖБЮДЖЕТНЫЕ ТРАНСФЕРТЫ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</si>
  <si>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</si>
  <si>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</si>
  <si>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</si>
  <si>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</si>
  <si>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</si>
  <si>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</si>
  <si>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2 02 45303 04 0000 150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</si>
  <si>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</si>
  <si>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2 02 45393 00 0000 150</t>
  </si>
  <si>
    <t>Межбюджетные трансферты, передаваемые бюджетам на финансовое обеспечение дорожной деятельности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</si>
  <si>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</si>
  <si>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</si>
  <si>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2 02 49999 00 0000 150</t>
  </si>
  <si>
    <t>Прочие межбюджетные трансферты,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</si>
  <si>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</si>
  <si>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</si>
  <si>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Иные межбюджетные трансферты на организацию временного трудоустройства несовершеннолетних граждан в возрасте от 14 до 18 лет в свободное от учебы время</t>
  </si>
  <si>
    <t>Иные межбюджетные трансферты на государственную поддержку отрасли культуры (государственная поддержка лучших сельских учреждений культуры) в рамках регионального проекта "Творческие люди"</t>
  </si>
  <si>
    <t>Иные межбюджетные трансферты на финансовое обеспечение дорожной деятельности в отношении автомобильных дорог общего пользования местного значения</t>
  </si>
  <si>
    <t>Иные межбюджетные трансферты на реализацию федеральной целевой программы "Увековечение памяти погибших при защите Отечества на 2019 - 2024 годы"</t>
  </si>
  <si>
    <t>Межбюджетные трансферты на обеспечение мероприятий по капитальному ремонту многоквартирных домов (компенсация затрат местных бюджетов по замене лифтов)</t>
  </si>
  <si>
    <t>Иные межбюджетные трансферты на проведение конкурсов "Активный сельский староста", "Активный руководитель территориального общественного самоуправления"</t>
  </si>
  <si>
    <t>Иные межбюджетные трансферты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</si>
  <si>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 xml:space="preserve">Иные межбюджетные трансфертына проведение конкурса "Активный староста","Активный руководитель ТОС" </t>
  </si>
  <si>
    <t>Иные межбюджетные трансферты на социально-экономическое развитие ТО (разработка ПСД по рекультивации мест размещения бытовых отходов)</t>
  </si>
  <si>
    <t>2 03 00000 00 0000 150</t>
  </si>
  <si>
    <t>БЕЗВОЗМЕЗДНЫЕ ПОСТУПЛЕНИЯ ОТ ГОСУДАРСТВЕННЫХ (МУНИЦИПАЛЬНЫХ) ОРГАНИЗАЦИЙ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</si>
  <si>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</si>
  <si>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</si>
  <si>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2 03 04020 04 0000 150</t>
  </si>
  <si>
    <t>Поступления от денежных пожертвований, предоставляемых государственными (муниципальными) организациями получателям средств бюджетов городских округов</t>
  </si>
  <si>
    <t>в том числе:</t>
  </si>
  <si>
    <t>софинансирование проекта «Народный бюджет»</t>
  </si>
  <si>
    <t>доля софинансирования перечня работ по проекту «Формирование современной городской среды»</t>
  </si>
  <si>
    <t>2 04 00000 00 0000 000</t>
  </si>
  <si>
    <t>БЕЗВОЗМЕЗДНЫЕ ПОСТУПЛЕНИЯ ОТ НЕГОСУДАРСТВЕННЫХ ОРГАНИЗАЦИЙ</t>
  </si>
  <si>
    <t>2 04 04000 04 0000 150</t>
  </si>
  <si>
    <t>Безвозмездные поступления  от негосударственных организаций в бюджеты городских округов</t>
  </si>
  <si>
    <t>2 04 04020 04 0000 150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</si>
  <si>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</si>
  <si>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</si>
  <si>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</si>
  <si>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</si>
  <si>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</si>
  <si>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</si>
  <si>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r>
      <t>софинансирование проекта «Народный бюджет»</t>
    </r>
    <r>
      <rPr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(Народный бюджет 2020г.)</t>
    </r>
  </si>
  <si>
    <t>для использования в целях оплаты за оказание услуг проведения внешней экспертизы поставленного товара для создания и обеспечения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рег.проекта  "Современная школа" национального проекта "Образование"</t>
  </si>
  <si>
    <t>2 18 00000 00 0000 000</t>
  </si>
  <si>
    <t xml:space="preserve">  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</si>
  <si>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</si>
  <si>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</si>
  <si>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</si>
  <si>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</si>
  <si>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</si>
  <si>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</si>
  <si>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</si>
  <si>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мероприятий по обеспечению жильем молодых семей из  бюджетов городских округов</t>
  </si>
  <si>
    <t>2 19 60010 04 0000 151</t>
  </si>
  <si>
    <t>ВСЕГО ДОХОДОВ</t>
  </si>
  <si>
    <r>
      <t>Налог на доходы физических лиц с доходов, источником которых является налоговый агент, за исключением доходов, в отношение которых исчисление и уплата налога осуществляются в соответствии со статьями 227, 227.1 и 228 Налогового кодекса Российской Федерации,</t>
    </r>
    <r>
      <rPr>
        <b/>
        <sz val="8"/>
        <color theme="4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
</t>
    </r>
  </si>
  <si>
    <t>ГОСУДАРСТВЕННАЯ ПОШЛИНА</t>
  </si>
  <si>
    <r>
      <t xml:space="preserve">ДОХОДЫ БЮДЖЕТОВ БЮДЖЕТНОЙ СИСТЕМЫ РОССИЙСКОЙ ФЕДЕРАЦИИ ОТ ВОЗВРАТА </t>
    </r>
    <r>
      <rPr>
        <b/>
        <sz val="8"/>
        <rFont val="Times New Roman"/>
        <family val="1"/>
        <charset val="204"/>
      </rPr>
      <t>ОСТАТКОВ СУБСИДИЙ, СУБВЕНЦИЙ И ИНЫХ МЕЖБЮДЖЕТНЫХ ТРАНСФЕРТОВ, ИМЕЮЩИХ ЦЕЛЕВОЕ НАЗНАЧЕНИЕ, ПРОШЛЫХ ЛЕТ</t>
    </r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</si>
  <si>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</si>
  <si>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Приложение 1                           </t>
  </si>
  <si>
    <t>Возврат остатков субсидий на реализацию программы комплексного развития молодежной политики в регионах Российской Федерации "Регион для молодых" из бюджетов городских округов</t>
  </si>
  <si>
    <t>2 19 25116 04 0000 150</t>
  </si>
  <si>
    <t>2 02 45519 00 0000 150</t>
  </si>
  <si>
    <t>Межбюджетные трансферты, передаваемые бюджетам на поддержку отрасли культуры</t>
  </si>
  <si>
    <t xml:space="preserve">2 02 45519 04 0000 150
</t>
  </si>
  <si>
    <t xml:space="preserve">Межбюджетные трансферты, передаваемые бюджетам городских округов на поддержку отрасли культуры
</t>
  </si>
  <si>
    <t>Субсидии  на строительство (реконструкцию), модернизацию, капитальный ремонт и ремонт объектов водоснабжения Тульской области</t>
  </si>
  <si>
    <t>Субвенции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 в соответствии с указом Губернатора Тульской области от 12 октября 2022 года №105 "О предоставлении дополнительных мер социальной поддержки отдельным категориям граждан"</t>
  </si>
  <si>
    <t>Иные межбюджетные трансферты на выполнение на общественных территориях мероприятий по благоустройству и (или) ремонту инженерных коммуникаций</t>
  </si>
  <si>
    <t>Иные межбюджетные трансферты на приобретение специализированной техники</t>
  </si>
  <si>
    <t>Иные межбюджетные трансферты на развитие материально-технической базы образовательных организаций, расположенных на территории Тульской области, в рамках реализации проекта «Выбирай, учись, играй!»</t>
  </si>
  <si>
    <t>Иные межбюджетные трансфертына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</si>
  <si>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2 19 25497 04 0000 150</t>
  </si>
  <si>
    <t>Субсидии  на 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</si>
  <si>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Субсидии на организацию и осуществление мероприятий по работе с детьми и молодежью ТО</t>
  </si>
  <si>
    <t>Субсидии 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</si>
  <si>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Иные межбюджетные трансферты на финансове обеспечение дорожной деятельности</t>
  </si>
  <si>
    <t xml:space="preserve">Иные МБТ на проведение конкурса "Активный староста","Активный руководитель ТОС"    </t>
  </si>
  <si>
    <t>Иные межбюджетные трансфертына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области:</t>
  </si>
  <si>
    <t>Иные межбюджетные трансферты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области:</t>
  </si>
  <si>
    <t>Иные межбюджетные трансферты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</si>
  <si>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2 02 45050 00 0000 150</t>
  </si>
  <si>
    <t xml:space="preserve">2 02 45050 04 0000 150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</si>
  <si>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</si>
  <si>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ОТЧЕТ ОБ ИСПОЛНЕНИИ
БЮДЖЕТА  МУНИЦИПАЛЬНОГО ОБРАЗОВАНИЯ  ГОРОД АЛЕКСИН
на 1 января 2025 года</t>
  </si>
  <si>
    <t>% исполнения</t>
  </si>
  <si>
    <t>Исполнено на 01.01.2025</t>
  </si>
  <si>
    <t>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</si>
  <si>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</si>
  <si>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-</t>
  </si>
  <si>
    <t>Утверждено бюджетом на 2024 год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</si>
  <si>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</si>
  <si>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</si>
  <si>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 xml:space="preserve">1. Доходы бюджета муниципального образования город Алексин </t>
  </si>
  <si>
    <t xml:space="preserve">муниципального образования город Алексин </t>
  </si>
  <si>
    <t>от  05 июня 2025 г.  № 3(7).2</t>
  </si>
</sst>
</file>

<file path=xl/styles.xml><?xml version="1.0" encoding="utf-8"?>
<styleSheet xmlns="http://schemas.openxmlformats.org/spreadsheetml/2006/main">
  <numFmts count="2">
    <numFmt numFmtId="164" formatCode="[$-10419]###\ ###\ ###\ ###\ ##0.00"/>
    <numFmt numFmtId="165" formatCode="0.0%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4"/>
      <name val="Times New Roman"/>
      <family val="1"/>
      <charset val="204"/>
    </font>
    <font>
      <sz val="11"/>
      <color indexed="8"/>
      <name val="Calibri"/>
      <family val="2"/>
    </font>
    <font>
      <b/>
      <sz val="8"/>
      <color indexed="8"/>
      <name val="Arial"/>
      <family val="2"/>
      <charset val="204"/>
    </font>
    <font>
      <sz val="8"/>
      <name val="Arial CYR"/>
    </font>
    <font>
      <sz val="9"/>
      <name val="Arial CYR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Arial CY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" fillId="0" borderId="4" applyNumberFormat="0">
      <alignment horizontal="right" vertical="top"/>
    </xf>
    <xf numFmtId="0" fontId="12" fillId="0" borderId="0"/>
  </cellStyleXfs>
  <cellXfs count="7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" fontId="7" fillId="0" borderId="1" xfId="0" applyNumberFormat="1" applyFont="1" applyBorder="1"/>
    <xf numFmtId="0" fontId="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" fontId="3" fillId="0" borderId="1" xfId="0" applyNumberFormat="1" applyFont="1" applyBorder="1"/>
    <xf numFmtId="4" fontId="3" fillId="2" borderId="1" xfId="0" applyNumberFormat="1" applyFont="1" applyFill="1" applyBorder="1"/>
    <xf numFmtId="164" fontId="13" fillId="2" borderId="1" xfId="1" applyNumberFormat="1" applyFont="1" applyFill="1" applyBorder="1" applyAlignment="1">
      <alignment horizontal="right" vertical="center" wrapText="1" readingOrder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9" fillId="0" borderId="1" xfId="0" applyFont="1" applyBorder="1" applyAlignment="1">
      <alignment horizontal="justify" wrapText="1"/>
    </xf>
    <xf numFmtId="4" fontId="0" fillId="0" borderId="0" xfId="0" applyNumberFormat="1"/>
    <xf numFmtId="4" fontId="3" fillId="2" borderId="0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justify" vertical="top" wrapText="1"/>
    </xf>
    <xf numFmtId="4" fontId="17" fillId="2" borderId="1" xfId="0" applyNumberFormat="1" applyFont="1" applyFill="1" applyBorder="1"/>
    <xf numFmtId="49" fontId="7" fillId="0" borderId="1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wrapText="1"/>
    </xf>
    <xf numFmtId="49" fontId="19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7" fillId="0" borderId="0" xfId="0" applyNumberFormat="1" applyFont="1" applyBorder="1"/>
    <xf numFmtId="0" fontId="10" fillId="0" borderId="1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4" fontId="3" fillId="2" borderId="2" xfId="0" applyNumberFormat="1" applyFont="1" applyFill="1" applyBorder="1"/>
    <xf numFmtId="0" fontId="10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4" fontId="17" fillId="0" borderId="0" xfId="0" applyNumberFormat="1" applyFont="1" applyFill="1" applyBorder="1"/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" fontId="17" fillId="3" borderId="1" xfId="0" applyNumberFormat="1" applyFont="1" applyFill="1" applyBorder="1"/>
    <xf numFmtId="4" fontId="17" fillId="2" borderId="2" xfId="0" applyNumberFormat="1" applyFont="1" applyFill="1" applyBorder="1"/>
    <xf numFmtId="0" fontId="10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0" xfId="0" applyFont="1"/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6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vertical="top" wrapText="1"/>
    </xf>
    <xf numFmtId="165" fontId="7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5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/>
    <xf numFmtId="165" fontId="3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5">
    <cellStyle name="Normal" xfId="2"/>
    <cellStyle name="Normal_ДОХОДЫ-ИСПОЛНЕНИЕ 2017" xfId="1"/>
    <cellStyle name="Данные (редактируемые)" xfId="3"/>
    <cellStyle name="Обычный" xfId="0" builtinId="0"/>
    <cellStyle name="Обыч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BD2ADF5AE495FEDBA0208309055E802080234B156AF8982AD9495DD52F10DF5F91E5C8A9091C11827EB4B572C9210BDA350544ADA4DE8BBD1z0I" TargetMode="External"/><Relationship Id="rId13" Type="http://schemas.openxmlformats.org/officeDocument/2006/relationships/hyperlink" Target="consultantplus://offline/ref=E753AB266185A25EFBBF56E9E765EFB6D4614AB9AD69A288EEDC73C94F83F31694EB169DEF4C4058147E63975E0C4E5EBA799FFB9B0BT24BI" TargetMode="External"/><Relationship Id="rId18" Type="http://schemas.openxmlformats.org/officeDocument/2006/relationships/hyperlink" Target="consultantplus://offline/ref=93B26180C97A20FF02A1A04219C6D666F3ADD2591B16BA27388375E1ED4E7B5A8B1121C1AAEBDDD4C1A92C522C2A8905C101496DB7845537CAD9J" TargetMode="External"/><Relationship Id="rId26" Type="http://schemas.openxmlformats.org/officeDocument/2006/relationships/hyperlink" Target="consultantplus://offline/ref=BD0784487D55520114EA69C43A599087BA4BA161B0DE6B7B702C6B560B26F0B261F152C10BA99D4B7D4B8D07E7BCF7B93EFC8CB5B8E457C7v9DFO" TargetMode="External"/><Relationship Id="rId3" Type="http://schemas.openxmlformats.org/officeDocument/2006/relationships/hyperlink" Target="consultantplus://offline/ref=C0C6460C02EB0B893FA7CAB7556CB4048B2AA8DA84E88EB5CD8706334FA3A6BFCC7DB0E8183EF2C0B0C9921B640FB718F3BBB218FA56377FB9GFL" TargetMode="External"/><Relationship Id="rId21" Type="http://schemas.openxmlformats.org/officeDocument/2006/relationships/hyperlink" Target="consultantplus://offline/ref=0888D987A5F665E4F2E008444D7C4149A7D710FF8B52010093D9BB53E54A4E911E8D370C875AC9363DA1CD93D3F0D3EA0D6B2C811DF373D0b7H5J" TargetMode="External"/><Relationship Id="rId7" Type="http://schemas.openxmlformats.org/officeDocument/2006/relationships/hyperlink" Target="consultantplus://offline/ref=69BC498D08614C5CF877DBC9660DAFFB70B84B8E75727B762874E96621B45769B812978A2147ACA55B37D97B7B1916D2BE89CE65F1268210a1y6I" TargetMode="External"/><Relationship Id="rId12" Type="http://schemas.openxmlformats.org/officeDocument/2006/relationships/hyperlink" Target="consultantplus://offline/ref=F30B6AC6D56AE82CB8091A189427C23560ABDD307BA68F271D420DA14857526D3F323C3577FFB0CCD996F072A73F2B5370098FCAA0F656D3mFW5N" TargetMode="External"/><Relationship Id="rId17" Type="http://schemas.openxmlformats.org/officeDocument/2006/relationships/hyperlink" Target="consultantplus://offline/ref=1BC3C5829D565209F17C74FE7A8DA4482B6FE20CAF7CC92D363DD8DEC483105C983DB6E7024F3844D9235593F0A3F4779DDA754FF6CF8E7FY1CAJ" TargetMode="External"/><Relationship Id="rId25" Type="http://schemas.openxmlformats.org/officeDocument/2006/relationships/hyperlink" Target="consultantplus://offline/ref=3D430ED77D3D27D3E61109E6CAC7D5E3D024272A902FE63C8E7CB2AD113725C60297266AF8F1AB2F51FA06DEB54CF146246C24377D1CBCFDKDE7O" TargetMode="External"/><Relationship Id="rId2" Type="http://schemas.openxmlformats.org/officeDocument/2006/relationships/hyperlink" Target="consultantplus://offline/ref=288120BAD9C6C38C3B5CD0F750D565E04BAEA21AE62704E8F04830D03581669D0BAE2D9C4CC96873A7E3150B0B4D818A1202DEEF74A1CAEBU2F3L" TargetMode="External"/><Relationship Id="rId16" Type="http://schemas.openxmlformats.org/officeDocument/2006/relationships/hyperlink" Target="consultantplus://offline/ref=3450A5D8796B40A7133CDDD55B896312F921C621F8C5207000C0270C29D198B9416CDA1B612EFA15170132B992DA836C649141FAD76BA370uBB8J" TargetMode="External"/><Relationship Id="rId20" Type="http://schemas.openxmlformats.org/officeDocument/2006/relationships/hyperlink" Target="consultantplus://offline/ref=54371E2C26DF6A33FF72C5FC6813BAC75DD9EE56334932BB686953FA0AED01BFCB37DB29CF57D1A8D781CD7EA5C9B592E3B255783C7B0CD776F8J" TargetMode="External"/><Relationship Id="rId29" Type="http://schemas.openxmlformats.org/officeDocument/2006/relationships/comments" Target="../comments1.xml"/><Relationship Id="rId1" Type="http://schemas.openxmlformats.org/officeDocument/2006/relationships/hyperlink" Target="consultantplus://offline/ref=AFFDD44EDB787B57E42B59B047C2F5A056F5DD13129992C59C44478DC8049E438D30C0F315DFB1A9C893390E38eBsCI" TargetMode="External"/><Relationship Id="rId6" Type="http://schemas.openxmlformats.org/officeDocument/2006/relationships/hyperlink" Target="consultantplus://offline/ref=8939A9D9A551C129FD18E2758DD224255C85C380599E6F152D7D0B6F0BAEFC490D2EBE3407FBDFB661D03C511ED03788B69A2BA914AE630Ch8x2I" TargetMode="External"/><Relationship Id="rId11" Type="http://schemas.openxmlformats.org/officeDocument/2006/relationships/hyperlink" Target="consultantplus://offline/ref=4D7B8B576DDB6188BDCF75ABE7B8D556F6C6137857F6DE7D3B0845B52EC1415EE1E477256FBD414585489A7B9D6F6FC6965F806E41724B76E6W9N" TargetMode="External"/><Relationship Id="rId24" Type="http://schemas.openxmlformats.org/officeDocument/2006/relationships/hyperlink" Target="consultantplus://offline/ref=0D47F7213D5EEDCE291CDE024D8A028A4B87776E810483FAD1262E819EAF87F84DE21589E04E470F4E04ECAF96A67A4CFDBEF432C5741C2Fq865N" TargetMode="External"/><Relationship Id="rId5" Type="http://schemas.openxmlformats.org/officeDocument/2006/relationships/hyperlink" Target="consultantplus://offline/ref=02269A5B9445E4A99D688258F76A8451B8BC2422F54AD34018439A5B1D6C2F4F7B4B3439643ECAF42D68B6231774ED2497E5AB23BA67012B30v1I" TargetMode="External"/><Relationship Id="rId15" Type="http://schemas.openxmlformats.org/officeDocument/2006/relationships/hyperlink" Target="consultantplus://offline/ref=2AEB02DD426ADCE1C61C628C9B77B331DD51D848715DE977C93BF03DD491C96AF1B3AF2442E3424413D193450042EF8A497E989E6E19W3l7L" TargetMode="External"/><Relationship Id="rId23" Type="http://schemas.openxmlformats.org/officeDocument/2006/relationships/hyperlink" Target="consultantplus://offline/ref=E0C26197EACD86EFD820F38E5D117434BCDB5B457D0A27216D106448CDCDD1843D5544B36247D296BA798DC210E0A0CD44696613EC421B2EX2c5N" TargetMode="External"/><Relationship Id="rId28" Type="http://schemas.openxmlformats.org/officeDocument/2006/relationships/vmlDrawing" Target="../drawings/vmlDrawing1.vml"/><Relationship Id="rId10" Type="http://schemas.openxmlformats.org/officeDocument/2006/relationships/hyperlink" Target="consultantplus://offline/ref=642B7B80064714C03F296F39B88981300539C567CDADC3D4AADC1968A042FBE9627D212403013E55A4C5ECC248C827D1913EC5177AA39BF1nEl1M" TargetMode="External"/><Relationship Id="rId19" Type="http://schemas.openxmlformats.org/officeDocument/2006/relationships/hyperlink" Target="consultantplus://offline/ref=EADAC89DC30EC5BADC447957CA88674D9D8C46CED4A4C761E2342A8DD357F6EEA779D8C3470FA59731494A1E91AC9DECC43CBA4D49E92884Z1F2J" TargetMode="External"/><Relationship Id="rId4" Type="http://schemas.openxmlformats.org/officeDocument/2006/relationships/hyperlink" Target="consultantplus://offline/ref=FA1D74473871410B2E49F2EE9C907462737AC4DFD1BEB1BBB6BDCE57D6C8B71D43F14F7F003D93E80D20965AA8D04DDCA1EF19D37E7FE7D0G8vEI" TargetMode="External"/><Relationship Id="rId9" Type="http://schemas.openxmlformats.org/officeDocument/2006/relationships/hyperlink" Target="consultantplus://offline/ref=642B7B80064714C03F296F39B88981300539C567CDADC3D4AADC1968A042FBE9627D212403013E55A4C5ECC248C827D1913EC5177AA39BF1nEl1M" TargetMode="External"/><Relationship Id="rId14" Type="http://schemas.openxmlformats.org/officeDocument/2006/relationships/hyperlink" Target="consultantplus://offline/ref=42F4547B37FDD15E99C6627051BCF165152C53E4E1869116FA9297F0FDE74BA94414D70CE2D0FBA57CC0EA3D2EEC07DA8C060D900200DB59I" TargetMode="External"/><Relationship Id="rId22" Type="http://schemas.openxmlformats.org/officeDocument/2006/relationships/hyperlink" Target="consultantplus://offline/ref=B220532D94FF25BCB498A4588E6CA37F905A3E6AF88129BA345280795E0F0D21430A4212B52C3649D6434D90293C0AA495C4511BD4E67C57JFIEJ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4"/>
  </sheetPr>
  <dimension ref="A1:I321"/>
  <sheetViews>
    <sheetView tabSelected="1" zoomScale="115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5" sqref="A5:E5"/>
    </sheetView>
  </sheetViews>
  <sheetFormatPr defaultRowHeight="12.75"/>
  <cols>
    <col min="1" max="1" width="19.5703125" customWidth="1"/>
    <col min="2" max="2" width="40.42578125" customWidth="1"/>
    <col min="3" max="4" width="14" style="4" bestFit="1" customWidth="1"/>
    <col min="5" max="5" width="10.42578125" style="4" customWidth="1"/>
    <col min="6" max="6" width="14.140625" hidden="1" customWidth="1"/>
    <col min="7" max="7" width="14.5703125" hidden="1" customWidth="1"/>
    <col min="8" max="8" width="14.7109375" hidden="1" customWidth="1"/>
  </cols>
  <sheetData>
    <row r="1" spans="1:9" ht="11.25" customHeight="1">
      <c r="A1" s="1"/>
      <c r="B1" s="1"/>
      <c r="C1" s="72" t="s">
        <v>513</v>
      </c>
      <c r="D1" s="72"/>
      <c r="E1" s="72"/>
      <c r="F1" s="2" t="s">
        <v>0</v>
      </c>
      <c r="G1" s="2"/>
      <c r="H1" s="2"/>
      <c r="I1" s="2"/>
    </row>
    <row r="2" spans="1:9" ht="13.5" customHeight="1">
      <c r="B2" s="51"/>
      <c r="C2" s="51"/>
      <c r="D2" s="52" t="s">
        <v>1</v>
      </c>
      <c r="E2" s="53"/>
    </row>
    <row r="3" spans="1:9" ht="30" customHeight="1">
      <c r="B3" s="50"/>
      <c r="C3" s="50"/>
      <c r="D3" s="70" t="s">
        <v>548</v>
      </c>
      <c r="E3" s="70"/>
    </row>
    <row r="4" spans="1:9" ht="12.75" customHeight="1">
      <c r="B4" s="70"/>
      <c r="C4" s="70"/>
      <c r="D4" s="70" t="s">
        <v>549</v>
      </c>
      <c r="E4" s="70"/>
    </row>
    <row r="5" spans="1:9" ht="49.5" customHeight="1">
      <c r="A5" s="71" t="s">
        <v>538</v>
      </c>
      <c r="B5" s="71"/>
      <c r="C5" s="71"/>
      <c r="D5" s="71"/>
      <c r="E5" s="71"/>
      <c r="F5" s="3"/>
      <c r="G5" s="3"/>
      <c r="H5" s="3"/>
      <c r="I5" s="3"/>
    </row>
    <row r="6" spans="1:9" ht="16.5" customHeight="1">
      <c r="A6" s="71" t="s">
        <v>547</v>
      </c>
      <c r="B6" s="71"/>
      <c r="C6" s="71"/>
      <c r="D6" s="71"/>
      <c r="E6" s="71"/>
      <c r="F6" s="3"/>
      <c r="G6" s="3"/>
      <c r="H6" s="3"/>
      <c r="I6" s="3"/>
    </row>
    <row r="7" spans="1:9" ht="12.75" customHeight="1">
      <c r="E7" s="5" t="s">
        <v>2</v>
      </c>
    </row>
    <row r="8" spans="1:9" ht="36">
      <c r="A8" s="6" t="s">
        <v>3</v>
      </c>
      <c r="B8" s="6" t="s">
        <v>4</v>
      </c>
      <c r="C8" s="6" t="s">
        <v>544</v>
      </c>
      <c r="D8" s="26" t="s">
        <v>540</v>
      </c>
      <c r="E8" s="26" t="s">
        <v>539</v>
      </c>
    </row>
    <row r="9" spans="1:9">
      <c r="A9" s="7">
        <v>1</v>
      </c>
      <c r="B9" s="7">
        <v>2</v>
      </c>
      <c r="C9" s="6">
        <v>3</v>
      </c>
      <c r="D9" s="7">
        <v>4</v>
      </c>
      <c r="E9" s="7">
        <v>5</v>
      </c>
    </row>
    <row r="10" spans="1:9">
      <c r="A10" s="6" t="s">
        <v>5</v>
      </c>
      <c r="B10" s="8" t="s">
        <v>6</v>
      </c>
      <c r="C10" s="9">
        <f>C11+C21+C23+C41+C52+C68+C89+C96+C101+C114+C59</f>
        <v>1481828131.1900001</v>
      </c>
      <c r="D10" s="9">
        <f>D11+D21+D23+D41+D52+D68+D89+D96+D101+D114+D59</f>
        <v>1661314198.2499998</v>
      </c>
      <c r="E10" s="56">
        <f>D10/C10</f>
        <v>1.1211247534596751</v>
      </c>
      <c r="F10" s="9">
        <v>-700000</v>
      </c>
      <c r="G10" s="9">
        <v>-750000</v>
      </c>
      <c r="H10" s="9">
        <v>-750000</v>
      </c>
    </row>
    <row r="11" spans="1:9">
      <c r="A11" s="6" t="s">
        <v>7</v>
      </c>
      <c r="B11" s="8" t="s">
        <v>8</v>
      </c>
      <c r="C11" s="9">
        <f>C12</f>
        <v>951658340</v>
      </c>
      <c r="D11" s="9">
        <f>D12</f>
        <v>1041122174.4399999</v>
      </c>
      <c r="E11" s="56">
        <f>D11/C11</f>
        <v>1.094008354342799</v>
      </c>
    </row>
    <row r="12" spans="1:9">
      <c r="A12" s="10" t="s">
        <v>9</v>
      </c>
      <c r="B12" s="11" t="s">
        <v>10</v>
      </c>
      <c r="C12" s="12">
        <f>SUM(C13:C20)</f>
        <v>951658340</v>
      </c>
      <c r="D12" s="12">
        <f>SUM(D13:D20)</f>
        <v>1041122174.4399999</v>
      </c>
      <c r="E12" s="57">
        <f>D12/C12</f>
        <v>1.094008354342799</v>
      </c>
    </row>
    <row r="13" spans="1:9" ht="78.75" customHeight="1">
      <c r="A13" s="10" t="s">
        <v>11</v>
      </c>
      <c r="B13" s="32" t="s">
        <v>509</v>
      </c>
      <c r="C13" s="13">
        <f>541193600+76672539.13+143064360.87+73932590</f>
        <v>834863090</v>
      </c>
      <c r="D13" s="13">
        <v>917246790.20000005</v>
      </c>
      <c r="E13" s="58">
        <f>D13/C13</f>
        <v>1.098679293870807</v>
      </c>
      <c r="F13" s="14">
        <v>607042500</v>
      </c>
    </row>
    <row r="14" spans="1:9" ht="78" customHeight="1">
      <c r="A14" s="10" t="s">
        <v>12</v>
      </c>
      <c r="B14" s="15" t="s">
        <v>13</v>
      </c>
      <c r="C14" s="13">
        <f>1077100-201644.66+1524644.66</f>
        <v>2400100</v>
      </c>
      <c r="D14" s="13">
        <v>1959722.43</v>
      </c>
      <c r="E14" s="58">
        <f t="shared" ref="E14:E22" si="0">D14/C14</f>
        <v>0.81651699095871</v>
      </c>
      <c r="F14" s="14">
        <v>1233100</v>
      </c>
    </row>
    <row r="15" spans="1:9" ht="31.5" customHeight="1">
      <c r="A15" s="10" t="s">
        <v>14</v>
      </c>
      <c r="B15" s="15" t="s">
        <v>15</v>
      </c>
      <c r="C15" s="13">
        <f>4927300-425975.75+3229275.75</f>
        <v>7730600</v>
      </c>
      <c r="D15" s="13">
        <v>6398254.9800000004</v>
      </c>
      <c r="E15" s="58">
        <f t="shared" si="0"/>
        <v>0.82765309031640499</v>
      </c>
      <c r="F15" s="14">
        <v>5641300</v>
      </c>
    </row>
    <row r="16" spans="1:9" ht="66.75" customHeight="1">
      <c r="A16" s="10" t="s">
        <v>16</v>
      </c>
      <c r="B16" s="15" t="s">
        <v>17</v>
      </c>
      <c r="C16" s="13">
        <f>37326700+3031161.63+2096138.37+1786950</f>
        <v>44240950</v>
      </c>
      <c r="D16" s="13">
        <v>45999786.68</v>
      </c>
      <c r="E16" s="58">
        <f t="shared" si="0"/>
        <v>1.0397558524398776</v>
      </c>
      <c r="F16" s="14">
        <v>42735300</v>
      </c>
    </row>
    <row r="17" spans="1:8" ht="99" customHeight="1">
      <c r="A17" s="10" t="s">
        <v>18</v>
      </c>
      <c r="B17" s="32" t="s">
        <v>19</v>
      </c>
      <c r="C17" s="13">
        <f>15355900+31051200</f>
        <v>46407100</v>
      </c>
      <c r="D17" s="13">
        <v>50110261.469999999</v>
      </c>
      <c r="E17" s="58">
        <f t="shared" si="0"/>
        <v>1.0797973040763158</v>
      </c>
      <c r="F17" s="14">
        <v>17581000</v>
      </c>
    </row>
    <row r="18" spans="1:8" ht="99" customHeight="1">
      <c r="A18" s="10" t="s">
        <v>541</v>
      </c>
      <c r="B18" s="32" t="s">
        <v>542</v>
      </c>
      <c r="C18" s="13">
        <v>0</v>
      </c>
      <c r="D18" s="13">
        <v>-2154.96</v>
      </c>
      <c r="E18" s="58" t="s">
        <v>543</v>
      </c>
      <c r="F18" s="14"/>
    </row>
    <row r="19" spans="1:8" ht="44.25" customHeight="1">
      <c r="A19" s="10" t="s">
        <v>20</v>
      </c>
      <c r="B19" s="15" t="s">
        <v>21</v>
      </c>
      <c r="C19" s="13">
        <f>10244800+2440211.87-4616011.87+231100</f>
        <v>8300100.0000000009</v>
      </c>
      <c r="D19" s="13">
        <v>8958656.0399999991</v>
      </c>
      <c r="E19" s="58">
        <f t="shared" si="0"/>
        <v>1.0793431452633098</v>
      </c>
      <c r="F19" s="14">
        <v>11729300</v>
      </c>
    </row>
    <row r="20" spans="1:8" ht="43.5" customHeight="1">
      <c r="A20" s="10" t="s">
        <v>22</v>
      </c>
      <c r="B20" s="15" t="s">
        <v>23</v>
      </c>
      <c r="C20" s="13">
        <f>1692900+15295597.39-3918597.39-5353500</f>
        <v>7716400</v>
      </c>
      <c r="D20" s="13">
        <v>10450857.6</v>
      </c>
      <c r="E20" s="58">
        <f t="shared" si="0"/>
        <v>1.3543696024052667</v>
      </c>
      <c r="F20" s="14">
        <v>1938200</v>
      </c>
    </row>
    <row r="21" spans="1:8" ht="31.5">
      <c r="A21" s="6" t="s">
        <v>24</v>
      </c>
      <c r="B21" s="16" t="s">
        <v>25</v>
      </c>
      <c r="C21" s="9">
        <f>C22</f>
        <v>112849008.84999999</v>
      </c>
      <c r="D21" s="9">
        <f>D22</f>
        <v>114229811.40000001</v>
      </c>
      <c r="E21" s="56">
        <f>D21/C21</f>
        <v>1.0122358411834649</v>
      </c>
    </row>
    <row r="22" spans="1:8" ht="22.5">
      <c r="A22" s="10" t="s">
        <v>26</v>
      </c>
      <c r="B22" s="15" t="s">
        <v>27</v>
      </c>
      <c r="C22" s="13">
        <f>106493616.63+1765414.27+4589977.95</f>
        <v>112849008.84999999</v>
      </c>
      <c r="D22" s="13">
        <v>114229811.40000001</v>
      </c>
      <c r="E22" s="58">
        <f t="shared" si="0"/>
        <v>1.0122358411834649</v>
      </c>
    </row>
    <row r="23" spans="1:8">
      <c r="A23" s="6" t="s">
        <v>28</v>
      </c>
      <c r="B23" s="8" t="s">
        <v>29</v>
      </c>
      <c r="C23" s="9">
        <f t="shared" ref="C23:H23" si="1">C24+C35+C37+C39+C32</f>
        <v>125489705.11000001</v>
      </c>
      <c r="D23" s="9">
        <f>D24+D35+D37+D39+D32</f>
        <v>125169858.06999999</v>
      </c>
      <c r="E23" s="56">
        <f>D23/C23</f>
        <v>0.99745120892809769</v>
      </c>
      <c r="F23" s="9">
        <f t="shared" si="1"/>
        <v>0</v>
      </c>
      <c r="G23" s="9">
        <f t="shared" si="1"/>
        <v>0</v>
      </c>
      <c r="H23" s="9">
        <f t="shared" si="1"/>
        <v>0</v>
      </c>
    </row>
    <row r="24" spans="1:8" ht="22.5">
      <c r="A24" s="10" t="s">
        <v>30</v>
      </c>
      <c r="B24" s="15" t="s">
        <v>31</v>
      </c>
      <c r="C24" s="12">
        <f>C25+C28+C31</f>
        <v>109836343.18000001</v>
      </c>
      <c r="D24" s="12">
        <f t="shared" ref="D24:H24" si="2">D25+D28+D31</f>
        <v>109179334.94</v>
      </c>
      <c r="E24" s="57">
        <f>D24/C24</f>
        <v>0.99401829830656963</v>
      </c>
      <c r="F24" s="12">
        <f t="shared" si="2"/>
        <v>0</v>
      </c>
      <c r="G24" s="12">
        <f t="shared" si="2"/>
        <v>0</v>
      </c>
      <c r="H24" s="12">
        <f t="shared" si="2"/>
        <v>0</v>
      </c>
    </row>
    <row r="25" spans="1:8" ht="22.5">
      <c r="A25" s="10" t="s">
        <v>32</v>
      </c>
      <c r="B25" s="15" t="s">
        <v>33</v>
      </c>
      <c r="C25" s="12">
        <f>SUM(C26:C27)</f>
        <v>75205146.150000006</v>
      </c>
      <c r="D25" s="12">
        <f>SUM(D26:D27)</f>
        <v>74404222.219999999</v>
      </c>
      <c r="E25" s="57">
        <f>D25/C25</f>
        <v>0.98935014462437809</v>
      </c>
    </row>
    <row r="26" spans="1:8" ht="22.5">
      <c r="A26" s="10" t="s">
        <v>34</v>
      </c>
      <c r="B26" s="11" t="s">
        <v>35</v>
      </c>
      <c r="C26" s="13">
        <f>76520160-3252460+1937446.15</f>
        <v>75205146.150000006</v>
      </c>
      <c r="D26" s="13">
        <v>74404222.219999999</v>
      </c>
      <c r="E26" s="58">
        <f t="shared" ref="E26" si="3">D26/C26</f>
        <v>0.98935014462437809</v>
      </c>
    </row>
    <row r="27" spans="1:8" ht="33.75" hidden="1">
      <c r="A27" s="10" t="s">
        <v>36</v>
      </c>
      <c r="B27" s="11" t="s">
        <v>37</v>
      </c>
      <c r="C27" s="13">
        <v>0</v>
      </c>
      <c r="D27" s="13">
        <v>0</v>
      </c>
      <c r="E27" s="59">
        <v>0</v>
      </c>
    </row>
    <row r="28" spans="1:8" ht="33.75">
      <c r="A28" s="10" t="s">
        <v>38</v>
      </c>
      <c r="B28" s="15" t="s">
        <v>39</v>
      </c>
      <c r="C28" s="12">
        <f>SUM(C29:C30)</f>
        <v>34627381.030000001</v>
      </c>
      <c r="D28" s="12">
        <f>D29</f>
        <v>34771296.719999999</v>
      </c>
      <c r="E28" s="57">
        <f>D28/C28</f>
        <v>1.0041561240186001</v>
      </c>
    </row>
    <row r="29" spans="1:8" ht="42.75" customHeight="1">
      <c r="A29" s="10" t="s">
        <v>40</v>
      </c>
      <c r="B29" s="15" t="s">
        <v>41</v>
      </c>
      <c r="C29" s="13">
        <f>28513242-664042+6778181.03</f>
        <v>34627381.030000001</v>
      </c>
      <c r="D29" s="13">
        <v>34771296.719999999</v>
      </c>
      <c r="E29" s="58">
        <f t="shared" ref="E29" si="4">D29/C29</f>
        <v>1.0041561240186001</v>
      </c>
    </row>
    <row r="30" spans="1:8" ht="43.5" hidden="1" customHeight="1">
      <c r="A30" s="10" t="s">
        <v>42</v>
      </c>
      <c r="B30" s="15" t="s">
        <v>43</v>
      </c>
      <c r="C30" s="13">
        <v>0</v>
      </c>
      <c r="D30" s="13">
        <v>0</v>
      </c>
      <c r="E30" s="59">
        <v>0</v>
      </c>
    </row>
    <row r="31" spans="1:8" ht="33" customHeight="1">
      <c r="A31" s="10" t="s">
        <v>44</v>
      </c>
      <c r="B31" s="15" t="s">
        <v>45</v>
      </c>
      <c r="C31" s="17">
        <v>3816</v>
      </c>
      <c r="D31" s="17">
        <v>3816</v>
      </c>
      <c r="E31" s="57">
        <f t="shared" ref="E31:E33" si="5">D31/C31</f>
        <v>1</v>
      </c>
    </row>
    <row r="32" spans="1:8" ht="23.25" customHeight="1">
      <c r="A32" s="10" t="s">
        <v>46</v>
      </c>
      <c r="B32" s="15" t="s">
        <v>47</v>
      </c>
      <c r="C32" s="17">
        <f>SUM(C33:C34)</f>
        <v>189711.43</v>
      </c>
      <c r="D32" s="17">
        <f>SUM(D33:D34)</f>
        <v>189986.85</v>
      </c>
      <c r="E32" s="57">
        <f t="shared" si="5"/>
        <v>1.001451783901476</v>
      </c>
    </row>
    <row r="33" spans="1:5" ht="20.25" customHeight="1">
      <c r="A33" s="10" t="s">
        <v>48</v>
      </c>
      <c r="B33" s="15" t="s">
        <v>47</v>
      </c>
      <c r="C33" s="13">
        <f>80049.35+109662.08</f>
        <v>189711.43</v>
      </c>
      <c r="D33" s="13">
        <v>189986.85</v>
      </c>
      <c r="E33" s="58">
        <f t="shared" si="5"/>
        <v>1.001451783901476</v>
      </c>
    </row>
    <row r="34" spans="1:5" ht="33" hidden="1" customHeight="1">
      <c r="A34" s="10" t="s">
        <v>49</v>
      </c>
      <c r="B34" s="15" t="s">
        <v>50</v>
      </c>
      <c r="C34" s="13">
        <v>0</v>
      </c>
      <c r="D34" s="13">
        <v>0</v>
      </c>
      <c r="E34" s="59">
        <v>0</v>
      </c>
    </row>
    <row r="35" spans="1:5">
      <c r="A35" s="10" t="s">
        <v>51</v>
      </c>
      <c r="B35" s="15" t="s">
        <v>52</v>
      </c>
      <c r="C35" s="12">
        <f>C36</f>
        <v>885172</v>
      </c>
      <c r="D35" s="12">
        <f>D36</f>
        <v>885172</v>
      </c>
      <c r="E35" s="57">
        <f t="shared" ref="E35:E36" si="6">D35/C35</f>
        <v>1</v>
      </c>
    </row>
    <row r="36" spans="1:5">
      <c r="A36" s="10" t="s">
        <v>53</v>
      </c>
      <c r="B36" s="11" t="s">
        <v>52</v>
      </c>
      <c r="C36" s="13">
        <f>1088500-204465+1137</f>
        <v>885172</v>
      </c>
      <c r="D36" s="13">
        <v>885172</v>
      </c>
      <c r="E36" s="58">
        <f t="shared" si="6"/>
        <v>1</v>
      </c>
    </row>
    <row r="37" spans="1:5" ht="22.5">
      <c r="A37" s="10" t="s">
        <v>54</v>
      </c>
      <c r="B37" s="11" t="s">
        <v>55</v>
      </c>
      <c r="C37" s="12">
        <f>C38</f>
        <v>14578478.5</v>
      </c>
      <c r="D37" s="12">
        <f>D38</f>
        <v>14915364.279999999</v>
      </c>
      <c r="E37" s="57">
        <f t="shared" ref="E37:E38" si="7">D37/C37</f>
        <v>1.0231084320630579</v>
      </c>
    </row>
    <row r="38" spans="1:5" ht="24.75" customHeight="1">
      <c r="A38" s="10" t="s">
        <v>56</v>
      </c>
      <c r="B38" s="11" t="s">
        <v>57</v>
      </c>
      <c r="C38" s="13">
        <f>14104500+156900+317078.5</f>
        <v>14578478.5</v>
      </c>
      <c r="D38" s="13">
        <v>14915364.279999999</v>
      </c>
      <c r="E38" s="58">
        <f t="shared" si="7"/>
        <v>1.0231084320630579</v>
      </c>
    </row>
    <row r="39" spans="1:5" hidden="1">
      <c r="A39" s="10" t="s">
        <v>58</v>
      </c>
      <c r="B39" s="11" t="s">
        <v>59</v>
      </c>
      <c r="C39" s="12">
        <f>C40</f>
        <v>0</v>
      </c>
      <c r="D39" s="12">
        <f>D40</f>
        <v>0</v>
      </c>
      <c r="E39" s="57" t="e">
        <f t="shared" ref="E39:E40" si="8">D39/C39</f>
        <v>#DIV/0!</v>
      </c>
    </row>
    <row r="40" spans="1:5" ht="32.25" hidden="1" customHeight="1">
      <c r="A40" s="10" t="s">
        <v>60</v>
      </c>
      <c r="B40" s="11" t="s">
        <v>61</v>
      </c>
      <c r="C40" s="13">
        <v>0</v>
      </c>
      <c r="D40" s="13"/>
      <c r="E40" s="58" t="e">
        <f t="shared" si="8"/>
        <v>#DIV/0!</v>
      </c>
    </row>
    <row r="41" spans="1:5">
      <c r="A41" s="6" t="s">
        <v>62</v>
      </c>
      <c r="B41" s="16" t="s">
        <v>63</v>
      </c>
      <c r="C41" s="9">
        <f>C42+C44+C47</f>
        <v>164567374.20999998</v>
      </c>
      <c r="D41" s="9">
        <f>D42+D44+D47</f>
        <v>169011694.01000002</v>
      </c>
      <c r="E41" s="56">
        <f>D41/C41</f>
        <v>1.0270060807698662</v>
      </c>
    </row>
    <row r="42" spans="1:5">
      <c r="A42" s="10" t="s">
        <v>64</v>
      </c>
      <c r="B42" s="15" t="s">
        <v>65</v>
      </c>
      <c r="C42" s="12">
        <f>C43</f>
        <v>31760960</v>
      </c>
      <c r="D42" s="12">
        <f>D43</f>
        <v>32833338.690000001</v>
      </c>
      <c r="E42" s="57">
        <f>D42/C42</f>
        <v>1.0337640515274098</v>
      </c>
    </row>
    <row r="43" spans="1:5" ht="33.75">
      <c r="A43" s="10" t="s">
        <v>66</v>
      </c>
      <c r="B43" s="15" t="s">
        <v>67</v>
      </c>
      <c r="C43" s="13">
        <v>31760960</v>
      </c>
      <c r="D43" s="13">
        <v>32833338.690000001</v>
      </c>
      <c r="E43" s="58">
        <f t="shared" ref="E43" si="9">D43/C43</f>
        <v>1.0337640515274098</v>
      </c>
    </row>
    <row r="44" spans="1:5">
      <c r="A44" s="10" t="s">
        <v>68</v>
      </c>
      <c r="B44" s="15" t="s">
        <v>69</v>
      </c>
      <c r="C44" s="12">
        <f>C45+C46</f>
        <v>29236114.140000001</v>
      </c>
      <c r="D44" s="12">
        <f>D45+D46</f>
        <v>29363175.580000002</v>
      </c>
      <c r="E44" s="57">
        <f>D44/C44</f>
        <v>1.0043460440533087</v>
      </c>
    </row>
    <row r="45" spans="1:5" ht="22.5">
      <c r="A45" s="10" t="s">
        <v>70</v>
      </c>
      <c r="B45" s="15" t="s">
        <v>71</v>
      </c>
      <c r="C45" s="13">
        <f>24887686+4348208.59</f>
        <v>29235894.59</v>
      </c>
      <c r="D45" s="13">
        <v>29372159.780000001</v>
      </c>
      <c r="E45" s="58">
        <f t="shared" ref="E45" si="10">D45/C45</f>
        <v>1.004660886622796</v>
      </c>
    </row>
    <row r="46" spans="1:5" ht="22.5">
      <c r="A46" s="10" t="s">
        <v>72</v>
      </c>
      <c r="B46" s="15" t="s">
        <v>73</v>
      </c>
      <c r="C46" s="65">
        <f>583292.4-583072.85</f>
        <v>219.55000000004657</v>
      </c>
      <c r="D46" s="65">
        <v>-8984.2000000000007</v>
      </c>
      <c r="E46" s="66" t="s">
        <v>543</v>
      </c>
    </row>
    <row r="47" spans="1:5">
      <c r="A47" s="10" t="s">
        <v>74</v>
      </c>
      <c r="B47" s="15" t="s">
        <v>75</v>
      </c>
      <c r="C47" s="12">
        <f>C48+C50</f>
        <v>103570300.06999999</v>
      </c>
      <c r="D47" s="12">
        <f>D48+D50</f>
        <v>106815179.74000001</v>
      </c>
      <c r="E47" s="57">
        <f>D47/C47</f>
        <v>1.0313302140459852</v>
      </c>
    </row>
    <row r="48" spans="1:5">
      <c r="A48" s="10" t="s">
        <v>76</v>
      </c>
      <c r="B48" s="15" t="s">
        <v>77</v>
      </c>
      <c r="C48" s="12">
        <f>C49</f>
        <v>60544040.07</v>
      </c>
      <c r="D48" s="17">
        <f>D49</f>
        <v>63238100.060000002</v>
      </c>
      <c r="E48" s="57">
        <f>D48/C48</f>
        <v>1.0444975258817413</v>
      </c>
    </row>
    <row r="49" spans="1:6" ht="21" customHeight="1">
      <c r="A49" s="10" t="s">
        <v>78</v>
      </c>
      <c r="B49" s="15" t="s">
        <v>79</v>
      </c>
      <c r="C49" s="13">
        <f>50463910+10080130.07</f>
        <v>60544040.07</v>
      </c>
      <c r="D49" s="13">
        <v>63238100.060000002</v>
      </c>
      <c r="E49" s="58">
        <f t="shared" ref="E49" si="11">D49/C49</f>
        <v>1.0444975258817413</v>
      </c>
    </row>
    <row r="50" spans="1:6">
      <c r="A50" s="10" t="s">
        <v>80</v>
      </c>
      <c r="B50" s="15" t="s">
        <v>81</v>
      </c>
      <c r="C50" s="12">
        <f>C51</f>
        <v>43026260</v>
      </c>
      <c r="D50" s="12">
        <f>D51</f>
        <v>43577079.68</v>
      </c>
      <c r="E50" s="57">
        <f>D50/C50</f>
        <v>1.0128019418838634</v>
      </c>
    </row>
    <row r="51" spans="1:6" ht="20.25" customHeight="1">
      <c r="A51" s="10" t="s">
        <v>82</v>
      </c>
      <c r="B51" s="15" t="s">
        <v>83</v>
      </c>
      <c r="C51" s="13">
        <f>37801770+5224490</f>
        <v>43026260</v>
      </c>
      <c r="D51" s="13">
        <v>43577079.68</v>
      </c>
      <c r="E51" s="58">
        <f t="shared" ref="E51" si="12">D51/C51</f>
        <v>1.0128019418838634</v>
      </c>
    </row>
    <row r="52" spans="1:6">
      <c r="A52" s="6" t="s">
        <v>84</v>
      </c>
      <c r="B52" s="48" t="s">
        <v>510</v>
      </c>
      <c r="C52" s="9">
        <f>C53+C55</f>
        <v>14213000</v>
      </c>
      <c r="D52" s="9">
        <f>D53+D55</f>
        <v>16133604.15</v>
      </c>
      <c r="E52" s="56">
        <f>D52/C52</f>
        <v>1.1351301027228593</v>
      </c>
    </row>
    <row r="53" spans="1:6" ht="22.5">
      <c r="A53" s="10" t="s">
        <v>85</v>
      </c>
      <c r="B53" s="15" t="s">
        <v>86</v>
      </c>
      <c r="C53" s="12">
        <f>C54</f>
        <v>14133000</v>
      </c>
      <c r="D53" s="12">
        <f>D54</f>
        <v>16053604.15</v>
      </c>
      <c r="E53" s="57">
        <f>D53/C53</f>
        <v>1.1358950081369843</v>
      </c>
    </row>
    <row r="54" spans="1:6" ht="36" customHeight="1">
      <c r="A54" s="10" t="s">
        <v>87</v>
      </c>
      <c r="B54" s="15" t="s">
        <v>88</v>
      </c>
      <c r="C54" s="13">
        <f>11826900-965600+3271700</f>
        <v>14133000</v>
      </c>
      <c r="D54" s="13">
        <v>16053604.15</v>
      </c>
      <c r="E54" s="58">
        <f t="shared" ref="E54:E56" si="13">D54/C54</f>
        <v>1.1358950081369843</v>
      </c>
    </row>
    <row r="55" spans="1:6" ht="24.75" customHeight="1">
      <c r="A55" s="10" t="s">
        <v>89</v>
      </c>
      <c r="B55" s="15" t="s">
        <v>90</v>
      </c>
      <c r="C55" s="12">
        <f>C56+C57</f>
        <v>80000</v>
      </c>
      <c r="D55" s="12">
        <f>D56+D57</f>
        <v>80000</v>
      </c>
      <c r="E55" s="57">
        <f>D55/C55</f>
        <v>1</v>
      </c>
    </row>
    <row r="56" spans="1:6" ht="22.5">
      <c r="A56" s="10" t="s">
        <v>91</v>
      </c>
      <c r="B56" s="15" t="s">
        <v>92</v>
      </c>
      <c r="C56" s="13">
        <f>100000-80000+60000</f>
        <v>80000</v>
      </c>
      <c r="D56" s="13">
        <v>80000</v>
      </c>
      <c r="E56" s="58">
        <f t="shared" si="13"/>
        <v>1</v>
      </c>
    </row>
    <row r="57" spans="1:6" ht="43.5" hidden="1" customHeight="1">
      <c r="A57" s="10" t="s">
        <v>93</v>
      </c>
      <c r="B57" s="15" t="s">
        <v>94</v>
      </c>
      <c r="C57" s="12">
        <f>C58</f>
        <v>0</v>
      </c>
      <c r="D57" s="17">
        <f>D58</f>
        <v>0</v>
      </c>
      <c r="E57" s="60">
        <f>E58</f>
        <v>0</v>
      </c>
    </row>
    <row r="58" spans="1:6" ht="67.5" hidden="1" customHeight="1">
      <c r="A58" s="10" t="s">
        <v>95</v>
      </c>
      <c r="B58" s="15" t="s">
        <v>96</v>
      </c>
      <c r="C58" s="13">
        <f>210000-210000</f>
        <v>0</v>
      </c>
      <c r="D58" s="13">
        <v>0</v>
      </c>
      <c r="E58" s="59">
        <v>0</v>
      </c>
    </row>
    <row r="59" spans="1:6" ht="33" hidden="1" customHeight="1">
      <c r="A59" s="6" t="s">
        <v>97</v>
      </c>
      <c r="B59" s="8" t="s">
        <v>98</v>
      </c>
      <c r="C59" s="9">
        <f>C60+C63</f>
        <v>0</v>
      </c>
      <c r="D59" s="9">
        <f>D60+D63</f>
        <v>0</v>
      </c>
      <c r="E59" s="61">
        <f>E60+E63</f>
        <v>0</v>
      </c>
    </row>
    <row r="60" spans="1:6" ht="12.75" hidden="1" customHeight="1">
      <c r="A60" s="10" t="s">
        <v>99</v>
      </c>
      <c r="B60" s="15" t="s">
        <v>100</v>
      </c>
      <c r="C60" s="12">
        <f t="shared" ref="C60:E61" si="14">C61</f>
        <v>0</v>
      </c>
      <c r="D60" s="12">
        <f t="shared" si="14"/>
        <v>0</v>
      </c>
      <c r="E60" s="62">
        <f t="shared" si="14"/>
        <v>0</v>
      </c>
    </row>
    <row r="61" spans="1:6" ht="22.5" hidden="1" customHeight="1">
      <c r="A61" s="10" t="s">
        <v>101</v>
      </c>
      <c r="B61" s="15" t="s">
        <v>102</v>
      </c>
      <c r="C61" s="12">
        <f t="shared" si="14"/>
        <v>0</v>
      </c>
      <c r="D61" s="12">
        <f t="shared" si="14"/>
        <v>0</v>
      </c>
      <c r="E61" s="62">
        <f t="shared" si="14"/>
        <v>0</v>
      </c>
    </row>
    <row r="62" spans="1:6" ht="33.75" hidden="1" customHeight="1">
      <c r="A62" s="10" t="s">
        <v>103</v>
      </c>
      <c r="B62" s="15" t="s">
        <v>104</v>
      </c>
      <c r="C62" s="13">
        <v>0</v>
      </c>
      <c r="D62" s="13">
        <v>0</v>
      </c>
      <c r="E62" s="59">
        <v>0</v>
      </c>
    </row>
    <row r="63" spans="1:6" ht="21.75" hidden="1" customHeight="1">
      <c r="A63" s="10" t="s">
        <v>105</v>
      </c>
      <c r="B63" s="15" t="s">
        <v>106</v>
      </c>
      <c r="C63" s="12">
        <f>C64+C66</f>
        <v>0</v>
      </c>
      <c r="D63" s="12">
        <f>D64+D66</f>
        <v>0</v>
      </c>
      <c r="E63" s="62">
        <f>E64+E66</f>
        <v>0</v>
      </c>
      <c r="F63" s="12"/>
    </row>
    <row r="64" spans="1:6" ht="31.5" hidden="1" customHeight="1">
      <c r="A64" s="10" t="s">
        <v>107</v>
      </c>
      <c r="B64" s="15" t="s">
        <v>108</v>
      </c>
      <c r="C64" s="12">
        <f>C65</f>
        <v>0</v>
      </c>
      <c r="D64" s="12">
        <f>D65</f>
        <v>0</v>
      </c>
      <c r="E64" s="62">
        <f>E65</f>
        <v>0</v>
      </c>
    </row>
    <row r="65" spans="1:5" ht="45.75" hidden="1" customHeight="1">
      <c r="A65" s="10" t="s">
        <v>109</v>
      </c>
      <c r="B65" s="15" t="s">
        <v>110</v>
      </c>
      <c r="C65" s="13">
        <v>0</v>
      </c>
      <c r="D65" s="13">
        <v>0</v>
      </c>
      <c r="E65" s="59">
        <v>0</v>
      </c>
    </row>
    <row r="66" spans="1:5" ht="22.5" hidden="1" customHeight="1">
      <c r="A66" s="10" t="s">
        <v>111</v>
      </c>
      <c r="B66" s="15" t="s">
        <v>112</v>
      </c>
      <c r="C66" s="12">
        <f>C67</f>
        <v>0</v>
      </c>
      <c r="D66" s="12">
        <f>D67</f>
        <v>0</v>
      </c>
      <c r="E66" s="62">
        <f>E67</f>
        <v>0</v>
      </c>
    </row>
    <row r="67" spans="1:5" ht="20.25" hidden="1" customHeight="1">
      <c r="A67" s="10" t="s">
        <v>113</v>
      </c>
      <c r="B67" s="15" t="s">
        <v>114</v>
      </c>
      <c r="C67" s="13">
        <v>0</v>
      </c>
      <c r="D67" s="13">
        <v>0</v>
      </c>
      <c r="E67" s="59">
        <v>0</v>
      </c>
    </row>
    <row r="68" spans="1:5" ht="34.5" customHeight="1">
      <c r="A68" s="6" t="s">
        <v>115</v>
      </c>
      <c r="B68" s="16" t="s">
        <v>116</v>
      </c>
      <c r="C68" s="9">
        <f>C69+C71+C81+C84+C78</f>
        <v>51127380.240000002</v>
      </c>
      <c r="D68" s="9">
        <f>D69+D71+D81+D84+D78</f>
        <v>55952875.720000006</v>
      </c>
      <c r="E68" s="56">
        <f>D68/C68</f>
        <v>1.0943818254983604</v>
      </c>
    </row>
    <row r="69" spans="1:5" ht="55.5" customHeight="1">
      <c r="A69" s="10" t="s">
        <v>117</v>
      </c>
      <c r="B69" s="15" t="s">
        <v>118</v>
      </c>
      <c r="C69" s="12">
        <f>C70</f>
        <v>500000</v>
      </c>
      <c r="D69" s="12">
        <f>D70</f>
        <v>499462.64</v>
      </c>
      <c r="E69" s="57">
        <f>D69/C69</f>
        <v>0.99892528000000003</v>
      </c>
    </row>
    <row r="70" spans="1:5" ht="43.5" customHeight="1">
      <c r="A70" s="10" t="s">
        <v>119</v>
      </c>
      <c r="B70" s="15" t="s">
        <v>120</v>
      </c>
      <c r="C70" s="13">
        <f>200000+300000</f>
        <v>500000</v>
      </c>
      <c r="D70" s="13">
        <v>499462.64</v>
      </c>
      <c r="E70" s="58">
        <f t="shared" ref="E70" si="15">D70/C70</f>
        <v>0.99892528000000003</v>
      </c>
    </row>
    <row r="71" spans="1:5" ht="66.75" customHeight="1">
      <c r="A71" s="10" t="s">
        <v>121</v>
      </c>
      <c r="B71" s="15" t="s">
        <v>122</v>
      </c>
      <c r="C71" s="12">
        <f>C72+C74+C76</f>
        <v>42818124.649999999</v>
      </c>
      <c r="D71" s="12">
        <f>D72+D74+D76</f>
        <v>47554538.510000005</v>
      </c>
      <c r="E71" s="57">
        <f>D71/C71</f>
        <v>1.110617031892825</v>
      </c>
    </row>
    <row r="72" spans="1:5" ht="45.75" customHeight="1">
      <c r="A72" s="10" t="s">
        <v>123</v>
      </c>
      <c r="B72" s="15" t="s">
        <v>124</v>
      </c>
      <c r="C72" s="12">
        <f>C73</f>
        <v>32018124.649999999</v>
      </c>
      <c r="D72" s="12">
        <f>D73</f>
        <v>35896983.380000003</v>
      </c>
      <c r="E72" s="57">
        <f>D72/C72</f>
        <v>1.1211457189451601</v>
      </c>
    </row>
    <row r="73" spans="1:5" ht="56.25" customHeight="1">
      <c r="A73" s="10" t="s">
        <v>125</v>
      </c>
      <c r="B73" s="15" t="s">
        <v>126</v>
      </c>
      <c r="C73" s="13">
        <f>20000000+2160027.96+9858096.69</f>
        <v>32018124.649999999</v>
      </c>
      <c r="D73" s="13">
        <v>35896983.380000003</v>
      </c>
      <c r="E73" s="58">
        <f t="shared" ref="E73:E77" si="16">D73/C73</f>
        <v>1.1211457189451601</v>
      </c>
    </row>
    <row r="74" spans="1:5" ht="54.75" customHeight="1">
      <c r="A74" s="10" t="s">
        <v>127</v>
      </c>
      <c r="B74" s="15" t="s">
        <v>128</v>
      </c>
      <c r="C74" s="12">
        <f>C75</f>
        <v>800000</v>
      </c>
      <c r="D74" s="12">
        <f>D75</f>
        <v>804458.42</v>
      </c>
      <c r="E74" s="57">
        <f>D74/C74</f>
        <v>1.0055730250000001</v>
      </c>
    </row>
    <row r="75" spans="1:5" ht="53.25" customHeight="1">
      <c r="A75" s="10" t="s">
        <v>129</v>
      </c>
      <c r="B75" s="15" t="s">
        <v>130</v>
      </c>
      <c r="C75" s="13">
        <f>624699.46+5452+169848.54</f>
        <v>800000</v>
      </c>
      <c r="D75" s="13">
        <v>804458.42</v>
      </c>
      <c r="E75" s="58">
        <f t="shared" si="16"/>
        <v>1.0055730250000001</v>
      </c>
    </row>
    <row r="76" spans="1:5" ht="33.75">
      <c r="A76" s="10" t="s">
        <v>131</v>
      </c>
      <c r="B76" s="15" t="s">
        <v>132</v>
      </c>
      <c r="C76" s="12">
        <f>C77</f>
        <v>10000000</v>
      </c>
      <c r="D76" s="12">
        <f>D77</f>
        <v>10853096.710000001</v>
      </c>
      <c r="E76" s="57">
        <f>D76/C76</f>
        <v>1.0853096710000001</v>
      </c>
    </row>
    <row r="77" spans="1:5" ht="21.75" customHeight="1">
      <c r="A77" s="10" t="s">
        <v>133</v>
      </c>
      <c r="B77" s="15" t="s">
        <v>134</v>
      </c>
      <c r="C77" s="13">
        <f>6500000+2000000+1500000</f>
        <v>10000000</v>
      </c>
      <c r="D77" s="13">
        <v>10853096.710000001</v>
      </c>
      <c r="E77" s="58">
        <f t="shared" si="16"/>
        <v>1.0853096710000001</v>
      </c>
    </row>
    <row r="78" spans="1:5" ht="44.25" customHeight="1">
      <c r="A78" s="10" t="s">
        <v>135</v>
      </c>
      <c r="B78" s="15" t="s">
        <v>136</v>
      </c>
      <c r="C78" s="12">
        <f t="shared" ref="C78:D79" si="17">C79</f>
        <v>6558.13</v>
      </c>
      <c r="D78" s="12">
        <f t="shared" si="17"/>
        <v>6558.13</v>
      </c>
      <c r="E78" s="57">
        <f>D78/C78</f>
        <v>1</v>
      </c>
    </row>
    <row r="79" spans="1:5" ht="44.25" customHeight="1">
      <c r="A79" s="10" t="s">
        <v>137</v>
      </c>
      <c r="B79" s="15" t="s">
        <v>138</v>
      </c>
      <c r="C79" s="12">
        <f t="shared" si="17"/>
        <v>6558.13</v>
      </c>
      <c r="D79" s="12">
        <f t="shared" si="17"/>
        <v>6558.13</v>
      </c>
      <c r="E79" s="57">
        <f>D79/C79</f>
        <v>1</v>
      </c>
    </row>
    <row r="80" spans="1:5" ht="120.75" customHeight="1">
      <c r="A80" s="10" t="s">
        <v>139</v>
      </c>
      <c r="B80" s="15" t="s">
        <v>140</v>
      </c>
      <c r="C80" s="13">
        <f>2182.08+4376.05</f>
        <v>6558.13</v>
      </c>
      <c r="D80" s="13">
        <v>6558.13</v>
      </c>
      <c r="E80" s="58">
        <f t="shared" ref="E80" si="18">D80/C80</f>
        <v>1</v>
      </c>
    </row>
    <row r="81" spans="1:5" ht="22.5">
      <c r="A81" s="10" t="s">
        <v>141</v>
      </c>
      <c r="B81" s="15" t="s">
        <v>142</v>
      </c>
      <c r="C81" s="12">
        <f t="shared" ref="C81:D82" si="19">C82</f>
        <v>102697.45999999999</v>
      </c>
      <c r="D81" s="12">
        <f t="shared" si="19"/>
        <v>102697.46</v>
      </c>
      <c r="E81" s="57">
        <f>D81/C81</f>
        <v>1.0000000000000002</v>
      </c>
    </row>
    <row r="82" spans="1:5" ht="31.5" customHeight="1">
      <c r="A82" s="10" t="s">
        <v>143</v>
      </c>
      <c r="B82" s="15" t="s">
        <v>144</v>
      </c>
      <c r="C82" s="12">
        <f t="shared" si="19"/>
        <v>102697.45999999999</v>
      </c>
      <c r="D82" s="12">
        <f t="shared" si="19"/>
        <v>102697.46</v>
      </c>
      <c r="E82" s="57">
        <f>D82/C82</f>
        <v>1.0000000000000002</v>
      </c>
    </row>
    <row r="83" spans="1:5" ht="45.75" customHeight="1">
      <c r="A83" s="10" t="s">
        <v>145</v>
      </c>
      <c r="B83" s="15" t="s">
        <v>146</v>
      </c>
      <c r="C83" s="13">
        <f>257000-154302.54</f>
        <v>102697.45999999999</v>
      </c>
      <c r="D83" s="13">
        <v>102697.46</v>
      </c>
      <c r="E83" s="58">
        <f t="shared" ref="E83" si="20">D83/C83</f>
        <v>1.0000000000000002</v>
      </c>
    </row>
    <row r="84" spans="1:5" ht="65.25" customHeight="1">
      <c r="A84" s="10" t="s">
        <v>147</v>
      </c>
      <c r="B84" s="15" t="s">
        <v>148</v>
      </c>
      <c r="C84" s="12">
        <f>C85+C87</f>
        <v>7700000</v>
      </c>
      <c r="D84" s="12">
        <f>D85+D87</f>
        <v>7789618.9800000004</v>
      </c>
      <c r="E84" s="57">
        <f>D84/C84</f>
        <v>1.0116388285714286</v>
      </c>
    </row>
    <row r="85" spans="1:5" ht="66" customHeight="1">
      <c r="A85" s="10" t="s">
        <v>149</v>
      </c>
      <c r="B85" s="15" t="s">
        <v>150</v>
      </c>
      <c r="C85" s="12">
        <f>C86</f>
        <v>6000000</v>
      </c>
      <c r="D85" s="12">
        <f>D86</f>
        <v>6090028.79</v>
      </c>
      <c r="E85" s="57">
        <f>D85/C85</f>
        <v>1.0150047983333332</v>
      </c>
    </row>
    <row r="86" spans="1:5" ht="55.5" customHeight="1">
      <c r="A86" s="10" t="s">
        <v>151</v>
      </c>
      <c r="B86" s="15" t="s">
        <v>152</v>
      </c>
      <c r="C86" s="13">
        <f>6500000-500000</f>
        <v>6000000</v>
      </c>
      <c r="D86" s="13">
        <v>6090028.79</v>
      </c>
      <c r="E86" s="58">
        <f t="shared" ref="E86:E88" si="21">D86/C86</f>
        <v>1.0150047983333332</v>
      </c>
    </row>
    <row r="87" spans="1:5" ht="78" customHeight="1">
      <c r="A87" s="10" t="s">
        <v>153</v>
      </c>
      <c r="B87" s="15" t="s">
        <v>154</v>
      </c>
      <c r="C87" s="12">
        <f>C88</f>
        <v>1700000</v>
      </c>
      <c r="D87" s="12">
        <f>D88</f>
        <v>1699590.19</v>
      </c>
      <c r="E87" s="57">
        <f>D87/C87</f>
        <v>0.99975893529411763</v>
      </c>
    </row>
    <row r="88" spans="1:5" ht="77.25" customHeight="1">
      <c r="A88" s="10" t="s">
        <v>155</v>
      </c>
      <c r="B88" s="15" t="s">
        <v>156</v>
      </c>
      <c r="C88" s="13">
        <f>1625200+74800</f>
        <v>1700000</v>
      </c>
      <c r="D88" s="13">
        <v>1699590.19</v>
      </c>
      <c r="E88" s="58">
        <f t="shared" si="21"/>
        <v>0.99975893529411763</v>
      </c>
    </row>
    <row r="89" spans="1:5" ht="21">
      <c r="A89" s="6" t="s">
        <v>157</v>
      </c>
      <c r="B89" s="16" t="s">
        <v>158</v>
      </c>
      <c r="C89" s="9">
        <f>C90</f>
        <v>654127.10000000009</v>
      </c>
      <c r="D89" s="9">
        <f>D90</f>
        <v>491897.99</v>
      </c>
      <c r="E89" s="56">
        <f>D89/C89</f>
        <v>0.75199145548319268</v>
      </c>
    </row>
    <row r="90" spans="1:5">
      <c r="A90" s="10" t="s">
        <v>159</v>
      </c>
      <c r="B90" s="15" t="s">
        <v>160</v>
      </c>
      <c r="C90" s="12">
        <f>C91+C92+C93</f>
        <v>654127.10000000009</v>
      </c>
      <c r="D90" s="12">
        <f>D91+D92+D93</f>
        <v>491897.99</v>
      </c>
      <c r="E90" s="57">
        <f>D90/C90</f>
        <v>0.75199145548319268</v>
      </c>
    </row>
    <row r="91" spans="1:5" ht="22.5">
      <c r="A91" s="10" t="s">
        <v>161</v>
      </c>
      <c r="B91" s="15" t="s">
        <v>162</v>
      </c>
      <c r="C91" s="13">
        <v>414720.53</v>
      </c>
      <c r="D91" s="13">
        <v>405401.13</v>
      </c>
      <c r="E91" s="58">
        <f t="shared" ref="E91:E94" si="22">D91/C91</f>
        <v>0.97752848165004025</v>
      </c>
    </row>
    <row r="92" spans="1:5" ht="12" customHeight="1">
      <c r="A92" s="10" t="s">
        <v>163</v>
      </c>
      <c r="B92" s="15" t="s">
        <v>164</v>
      </c>
      <c r="C92" s="13">
        <v>156080.01999999999</v>
      </c>
      <c r="D92" s="13">
        <v>1400</v>
      </c>
      <c r="E92" s="58">
        <f t="shared" si="22"/>
        <v>8.9697579485189718E-3</v>
      </c>
    </row>
    <row r="93" spans="1:5" ht="12" customHeight="1">
      <c r="A93" s="10" t="s">
        <v>165</v>
      </c>
      <c r="B93" s="67" t="s">
        <v>166</v>
      </c>
      <c r="C93" s="65">
        <f>C94+C95</f>
        <v>83326.55</v>
      </c>
      <c r="D93" s="65">
        <f>D94+D95</f>
        <v>85096.86</v>
      </c>
      <c r="E93" s="66">
        <f t="shared" si="22"/>
        <v>1.0212454493795795</v>
      </c>
    </row>
    <row r="94" spans="1:5">
      <c r="A94" s="10" t="s">
        <v>167</v>
      </c>
      <c r="B94" s="15" t="s">
        <v>168</v>
      </c>
      <c r="C94" s="13">
        <v>83326.55</v>
      </c>
      <c r="D94" s="13">
        <v>85096.86</v>
      </c>
      <c r="E94" s="58">
        <f t="shared" si="22"/>
        <v>1.0212454493795795</v>
      </c>
    </row>
    <row r="95" spans="1:5" hidden="1">
      <c r="A95" s="10" t="s">
        <v>169</v>
      </c>
      <c r="B95" s="15" t="s">
        <v>170</v>
      </c>
      <c r="C95" s="13">
        <v>0</v>
      </c>
      <c r="D95" s="13">
        <v>0</v>
      </c>
      <c r="E95" s="59">
        <v>0</v>
      </c>
    </row>
    <row r="96" spans="1:5" ht="21">
      <c r="A96" s="6" t="s">
        <v>171</v>
      </c>
      <c r="B96" s="16" t="s">
        <v>172</v>
      </c>
      <c r="C96" s="9">
        <f>C97+C99</f>
        <v>20619531.239999998</v>
      </c>
      <c r="D96" s="9">
        <f>D97+D99</f>
        <v>20744024.09</v>
      </c>
      <c r="E96" s="56">
        <f>D96/C96</f>
        <v>1.0060376178561468</v>
      </c>
    </row>
    <row r="97" spans="1:8">
      <c r="A97" s="10" t="s">
        <v>173</v>
      </c>
      <c r="B97" s="15" t="s">
        <v>174</v>
      </c>
      <c r="C97" s="12">
        <f>C98</f>
        <v>3402476.13</v>
      </c>
      <c r="D97" s="12">
        <f>D98</f>
        <v>3496704.75</v>
      </c>
      <c r="E97" s="57">
        <f>D97/C97</f>
        <v>1.0276941310974017</v>
      </c>
    </row>
    <row r="98" spans="1:8" ht="22.5">
      <c r="A98" s="10" t="s">
        <v>175</v>
      </c>
      <c r="B98" s="15" t="s">
        <v>176</v>
      </c>
      <c r="C98" s="13">
        <f>1210000+2202107.13-9631</f>
        <v>3402476.13</v>
      </c>
      <c r="D98" s="13">
        <v>3496704.75</v>
      </c>
      <c r="E98" s="58">
        <f t="shared" ref="E98:E100" si="23">D98/C98</f>
        <v>1.0276941310974017</v>
      </c>
      <c r="F98" s="13">
        <v>-700000</v>
      </c>
      <c r="G98" s="13">
        <v>-750000</v>
      </c>
      <c r="H98" s="13">
        <v>-750000</v>
      </c>
    </row>
    <row r="99" spans="1:8">
      <c r="A99" s="10" t="s">
        <v>177</v>
      </c>
      <c r="B99" s="15" t="s">
        <v>178</v>
      </c>
      <c r="C99" s="12">
        <f>C100</f>
        <v>17217055.109999999</v>
      </c>
      <c r="D99" s="12">
        <f>D100</f>
        <v>17247319.34</v>
      </c>
      <c r="E99" s="57">
        <f>D99/C99</f>
        <v>1.0017578052580214</v>
      </c>
    </row>
    <row r="100" spans="1:8" ht="22.5">
      <c r="A100" s="10" t="s">
        <v>179</v>
      </c>
      <c r="B100" s="15" t="s">
        <v>180</v>
      </c>
      <c r="C100" s="13">
        <f>2285440.98+290239.98+14646613.43-5239.28</f>
        <v>17217055.109999999</v>
      </c>
      <c r="D100" s="13">
        <v>17247319.34</v>
      </c>
      <c r="E100" s="58">
        <f t="shared" si="23"/>
        <v>1.0017578052580214</v>
      </c>
    </row>
    <row r="101" spans="1:8" ht="21">
      <c r="A101" s="6" t="s">
        <v>181</v>
      </c>
      <c r="B101" s="16" t="s">
        <v>182</v>
      </c>
      <c r="C101" s="9">
        <f>C102+C108+C111</f>
        <v>37541064</v>
      </c>
      <c r="D101" s="9">
        <f>D102+D108+D111</f>
        <v>113264596.34</v>
      </c>
      <c r="E101" s="56">
        <f>D101/C101</f>
        <v>3.017085406529767</v>
      </c>
    </row>
    <row r="102" spans="1:8" ht="66" customHeight="1">
      <c r="A102" s="10" t="s">
        <v>183</v>
      </c>
      <c r="B102" s="15" t="s">
        <v>184</v>
      </c>
      <c r="C102" s="12">
        <f>C103+C105</f>
        <v>29111972.600000001</v>
      </c>
      <c r="D102" s="12">
        <f>D103+D105</f>
        <v>102555263.19</v>
      </c>
      <c r="E102" s="57">
        <f>D102/C102</f>
        <v>3.5227864699900135</v>
      </c>
    </row>
    <row r="103" spans="1:8" ht="65.25" customHeight="1">
      <c r="A103" s="10" t="s">
        <v>185</v>
      </c>
      <c r="B103" s="15" t="s">
        <v>186</v>
      </c>
      <c r="C103" s="12">
        <f>C104</f>
        <v>29000000</v>
      </c>
      <c r="D103" s="12">
        <f>D104</f>
        <v>102443290.59</v>
      </c>
      <c r="E103" s="57">
        <f>D103/C103</f>
        <v>3.5325272617241379</v>
      </c>
    </row>
    <row r="104" spans="1:8" ht="66" customHeight="1">
      <c r="A104" s="10" t="s">
        <v>187</v>
      </c>
      <c r="B104" s="15" t="s">
        <v>188</v>
      </c>
      <c r="C104" s="13">
        <f>3000000+2000000+24000000</f>
        <v>29000000</v>
      </c>
      <c r="D104" s="13">
        <v>102443290.59</v>
      </c>
      <c r="E104" s="58">
        <f t="shared" ref="E104" si="24">D104/C104</f>
        <v>3.5325272617241379</v>
      </c>
    </row>
    <row r="105" spans="1:8" ht="66" customHeight="1">
      <c r="A105" s="10" t="s">
        <v>189</v>
      </c>
      <c r="B105" s="15" t="s">
        <v>190</v>
      </c>
      <c r="C105" s="17">
        <f>SUM(C106:C107)</f>
        <v>111972.6</v>
      </c>
      <c r="D105" s="17">
        <f>SUM(D106:D107)</f>
        <v>111972.6</v>
      </c>
      <c r="E105" s="57">
        <f>D105/C105</f>
        <v>1</v>
      </c>
    </row>
    <row r="106" spans="1:8" ht="66" hidden="1" customHeight="1">
      <c r="A106" s="10" t="s">
        <v>191</v>
      </c>
      <c r="B106" s="15" t="s">
        <v>192</v>
      </c>
      <c r="C106" s="13">
        <v>0</v>
      </c>
      <c r="D106" s="13">
        <v>0</v>
      </c>
      <c r="E106" s="59">
        <v>0</v>
      </c>
    </row>
    <row r="107" spans="1:8" ht="66" customHeight="1">
      <c r="A107" s="10" t="s">
        <v>193</v>
      </c>
      <c r="B107" s="15" t="s">
        <v>194</v>
      </c>
      <c r="C107" s="13">
        <f>200000-88027.4</f>
        <v>111972.6</v>
      </c>
      <c r="D107" s="13">
        <v>111972.6</v>
      </c>
      <c r="E107" s="58">
        <f t="shared" ref="E107" si="25">D107/C107</f>
        <v>1</v>
      </c>
    </row>
    <row r="108" spans="1:8" ht="22.5">
      <c r="A108" s="10" t="s">
        <v>195</v>
      </c>
      <c r="B108" s="15" t="s">
        <v>196</v>
      </c>
      <c r="C108" s="12">
        <f t="shared" ref="C108:D109" si="26">C109</f>
        <v>7592000</v>
      </c>
      <c r="D108" s="12">
        <f t="shared" si="26"/>
        <v>9496956.5600000005</v>
      </c>
      <c r="E108" s="57">
        <f>D108/C108</f>
        <v>1.250916301369863</v>
      </c>
    </row>
    <row r="109" spans="1:8" ht="21" customHeight="1">
      <c r="A109" s="10" t="s">
        <v>197</v>
      </c>
      <c r="B109" s="15" t="s">
        <v>198</v>
      </c>
      <c r="C109" s="12">
        <f t="shared" si="26"/>
        <v>7592000</v>
      </c>
      <c r="D109" s="12">
        <f t="shared" si="26"/>
        <v>9496956.5600000005</v>
      </c>
      <c r="E109" s="57">
        <f>D109/C109</f>
        <v>1.250916301369863</v>
      </c>
    </row>
    <row r="110" spans="1:8" ht="34.5" customHeight="1">
      <c r="A110" s="10" t="s">
        <v>199</v>
      </c>
      <c r="B110" s="15" t="s">
        <v>200</v>
      </c>
      <c r="C110" s="13">
        <f>10000000-2608000+200000</f>
        <v>7592000</v>
      </c>
      <c r="D110" s="13">
        <v>9496956.5600000005</v>
      </c>
      <c r="E110" s="58">
        <f t="shared" ref="E110" si="27">D110/C110</f>
        <v>1.250916301369863</v>
      </c>
    </row>
    <row r="111" spans="1:8" ht="46.5" customHeight="1">
      <c r="A111" s="10" t="s">
        <v>201</v>
      </c>
      <c r="B111" s="15" t="s">
        <v>202</v>
      </c>
      <c r="C111" s="12">
        <f t="shared" ref="C111:D112" si="28">C112</f>
        <v>837091.4</v>
      </c>
      <c r="D111" s="12">
        <f t="shared" si="28"/>
        <v>1212376.5900000001</v>
      </c>
      <c r="E111" s="57">
        <f>D111/C111</f>
        <v>1.4483204462499555</v>
      </c>
    </row>
    <row r="112" spans="1:8" ht="46.5" customHeight="1">
      <c r="A112" s="10" t="s">
        <v>203</v>
      </c>
      <c r="B112" s="15" t="s">
        <v>204</v>
      </c>
      <c r="C112" s="12">
        <f t="shared" si="28"/>
        <v>837091.4</v>
      </c>
      <c r="D112" s="12">
        <f t="shared" si="28"/>
        <v>1212376.5900000001</v>
      </c>
      <c r="E112" s="57">
        <f>D112/C112</f>
        <v>1.4483204462499555</v>
      </c>
    </row>
    <row r="113" spans="1:5" ht="58.5" customHeight="1">
      <c r="A113" s="10" t="s">
        <v>205</v>
      </c>
      <c r="B113" s="15" t="s">
        <v>206</v>
      </c>
      <c r="C113" s="13">
        <f>3000000-2205413.42+42504.82</f>
        <v>837091.4</v>
      </c>
      <c r="D113" s="13">
        <v>1212376.5900000001</v>
      </c>
      <c r="E113" s="58">
        <f t="shared" ref="E113" si="29">D113/C113</f>
        <v>1.4483204462499555</v>
      </c>
    </row>
    <row r="114" spans="1:5">
      <c r="A114" s="6" t="s">
        <v>207</v>
      </c>
      <c r="B114" s="8" t="s">
        <v>208</v>
      </c>
      <c r="C114" s="9">
        <f>C115+C147+C149+C154+C160</f>
        <v>3108600.4400000004</v>
      </c>
      <c r="D114" s="9">
        <f>D115+D147+D149+D154+D160</f>
        <v>5193662.04</v>
      </c>
      <c r="E114" s="56">
        <f>D114/C114</f>
        <v>1.6707396592918193</v>
      </c>
    </row>
    <row r="115" spans="1:5" ht="36" customHeight="1">
      <c r="A115" s="10" t="s">
        <v>209</v>
      </c>
      <c r="B115" s="15" t="s">
        <v>210</v>
      </c>
      <c r="C115" s="12">
        <f>C116+C118+C120+C123+C126+C130+C132+C134+C137+C141+C144+C139+C128</f>
        <v>1059092.7600000002</v>
      </c>
      <c r="D115" s="12">
        <f>D116+D118+D120+D123+D126+D130+D132+D134+D137+D141+D144+D139+D128</f>
        <v>1062006.3900000001</v>
      </c>
      <c r="E115" s="57">
        <f>D115/C115</f>
        <v>1.0027510621449247</v>
      </c>
    </row>
    <row r="116" spans="1:5" ht="45">
      <c r="A116" s="10" t="s">
        <v>211</v>
      </c>
      <c r="B116" s="15" t="s">
        <v>212</v>
      </c>
      <c r="C116" s="12">
        <f>C117</f>
        <v>20703.100000000002</v>
      </c>
      <c r="D116" s="12">
        <f>D117</f>
        <v>19330</v>
      </c>
      <c r="E116" s="57">
        <f>D116/C116</f>
        <v>0.93367659915664791</v>
      </c>
    </row>
    <row r="117" spans="1:5" ht="58.5" customHeight="1">
      <c r="A117" s="10" t="s">
        <v>213</v>
      </c>
      <c r="B117" s="15" t="s">
        <v>214</v>
      </c>
      <c r="C117" s="13">
        <f>20457.74+1830-1584.64</f>
        <v>20703.100000000002</v>
      </c>
      <c r="D117" s="13">
        <v>19330</v>
      </c>
      <c r="E117" s="58">
        <f t="shared" ref="E117:E138" si="30">D117/C117</f>
        <v>0.93367659915664791</v>
      </c>
    </row>
    <row r="118" spans="1:5" ht="57" customHeight="1">
      <c r="A118" s="10" t="s">
        <v>215</v>
      </c>
      <c r="B118" s="15" t="s">
        <v>216</v>
      </c>
      <c r="C118" s="12">
        <f>C119</f>
        <v>132908.68</v>
      </c>
      <c r="D118" s="12">
        <f>D119</f>
        <v>75498.899999999994</v>
      </c>
      <c r="E118" s="57">
        <f>D118/C118</f>
        <v>0.56805093542423257</v>
      </c>
    </row>
    <row r="119" spans="1:5" ht="77.25" customHeight="1">
      <c r="A119" s="10" t="s">
        <v>217</v>
      </c>
      <c r="B119" s="15" t="s">
        <v>218</v>
      </c>
      <c r="C119" s="13">
        <f>134199.53+3000-4290.85</f>
        <v>132908.68</v>
      </c>
      <c r="D119" s="13">
        <v>75498.899999999994</v>
      </c>
      <c r="E119" s="58">
        <f t="shared" si="30"/>
        <v>0.56805093542423257</v>
      </c>
    </row>
    <row r="120" spans="1:5" ht="45">
      <c r="A120" s="10" t="s">
        <v>219</v>
      </c>
      <c r="B120" s="15" t="s">
        <v>220</v>
      </c>
      <c r="C120" s="12">
        <f>C121+C122</f>
        <v>208089.72</v>
      </c>
      <c r="D120" s="12">
        <f>D121+D122</f>
        <v>209889.72</v>
      </c>
      <c r="E120" s="57">
        <f>D120/C120</f>
        <v>1.0086501149600278</v>
      </c>
    </row>
    <row r="121" spans="1:5" ht="67.5">
      <c r="A121" s="10" t="s">
        <v>221</v>
      </c>
      <c r="B121" s="15" t="s">
        <v>222</v>
      </c>
      <c r="C121" s="13">
        <f>21193.75+169435.26+2460.71</f>
        <v>193089.72</v>
      </c>
      <c r="D121" s="13">
        <v>194889.72</v>
      </c>
      <c r="E121" s="58">
        <f t="shared" si="30"/>
        <v>1.0093220913055341</v>
      </c>
    </row>
    <row r="122" spans="1:5" ht="57" customHeight="1">
      <c r="A122" s="10" t="s">
        <v>223</v>
      </c>
      <c r="B122" s="15" t="s">
        <v>224</v>
      </c>
      <c r="C122" s="13">
        <f>10000+5000</f>
        <v>15000</v>
      </c>
      <c r="D122" s="13">
        <v>15000</v>
      </c>
      <c r="E122" s="58">
        <f t="shared" si="30"/>
        <v>1</v>
      </c>
    </row>
    <row r="123" spans="1:5" ht="44.25" customHeight="1">
      <c r="A123" s="10" t="s">
        <v>225</v>
      </c>
      <c r="B123" s="15" t="s">
        <v>226</v>
      </c>
      <c r="C123" s="12">
        <f>C124+C125</f>
        <v>67000</v>
      </c>
      <c r="D123" s="12">
        <f>D124+D125</f>
        <v>67000</v>
      </c>
      <c r="E123" s="57">
        <f>D123/C123</f>
        <v>1</v>
      </c>
    </row>
    <row r="124" spans="1:5" ht="65.25" customHeight="1">
      <c r="A124" s="10" t="s">
        <v>227</v>
      </c>
      <c r="B124" s="15" t="s">
        <v>228</v>
      </c>
      <c r="C124" s="13">
        <f>4409.19+2590.81</f>
        <v>7000</v>
      </c>
      <c r="D124" s="13">
        <v>7000</v>
      </c>
      <c r="E124" s="58">
        <f t="shared" si="30"/>
        <v>1</v>
      </c>
    </row>
    <row r="125" spans="1:5" ht="67.5">
      <c r="A125" s="10" t="s">
        <v>229</v>
      </c>
      <c r="B125" s="15" t="s">
        <v>230</v>
      </c>
      <c r="C125" s="13">
        <f>20000+40000</f>
        <v>60000</v>
      </c>
      <c r="D125" s="13">
        <v>60000</v>
      </c>
      <c r="E125" s="58">
        <f t="shared" si="30"/>
        <v>1</v>
      </c>
    </row>
    <row r="126" spans="1:5" ht="44.25" customHeight="1">
      <c r="A126" s="10" t="s">
        <v>231</v>
      </c>
      <c r="B126" s="15" t="s">
        <v>232</v>
      </c>
      <c r="C126" s="12">
        <f>C127</f>
        <v>50000</v>
      </c>
      <c r="D126" s="12">
        <f>D127</f>
        <v>50000</v>
      </c>
      <c r="E126" s="57">
        <f>D126/C126</f>
        <v>1</v>
      </c>
    </row>
    <row r="127" spans="1:5" ht="65.25" customHeight="1">
      <c r="A127" s="10" t="s">
        <v>233</v>
      </c>
      <c r="B127" s="15" t="s">
        <v>234</v>
      </c>
      <c r="C127" s="13">
        <f>32067.64-32067.64+50000</f>
        <v>50000</v>
      </c>
      <c r="D127" s="13">
        <v>50000</v>
      </c>
      <c r="E127" s="58">
        <f t="shared" si="30"/>
        <v>1</v>
      </c>
    </row>
    <row r="128" spans="1:5" ht="47.25" customHeight="1">
      <c r="A128" s="10" t="s">
        <v>235</v>
      </c>
      <c r="B128" s="15" t="s">
        <v>236</v>
      </c>
      <c r="C128" s="12">
        <f>C129</f>
        <v>3031.1</v>
      </c>
      <c r="D128" s="12">
        <f>D129</f>
        <v>0</v>
      </c>
      <c r="E128" s="57">
        <f>D128/C128</f>
        <v>0</v>
      </c>
    </row>
    <row r="129" spans="1:5" ht="65.25" customHeight="1">
      <c r="A129" s="10" t="s">
        <v>237</v>
      </c>
      <c r="B129" s="15" t="s">
        <v>238</v>
      </c>
      <c r="C129" s="13">
        <v>3031.1</v>
      </c>
      <c r="D129" s="13">
        <v>0</v>
      </c>
      <c r="E129" s="58">
        <f t="shared" si="30"/>
        <v>0</v>
      </c>
    </row>
    <row r="130" spans="1:5" ht="45">
      <c r="A130" s="10" t="s">
        <v>239</v>
      </c>
      <c r="B130" s="15" t="s">
        <v>240</v>
      </c>
      <c r="C130" s="12">
        <f>C131</f>
        <v>40683.160000000003</v>
      </c>
      <c r="D130" s="12">
        <f>D131</f>
        <v>22500</v>
      </c>
      <c r="E130" s="57">
        <f>D130/C130</f>
        <v>0.55305438417271413</v>
      </c>
    </row>
    <row r="131" spans="1:5" ht="57" customHeight="1">
      <c r="A131" s="10" t="s">
        <v>241</v>
      </c>
      <c r="B131" s="15" t="s">
        <v>242</v>
      </c>
      <c r="C131" s="13">
        <v>40683.160000000003</v>
      </c>
      <c r="D131" s="13">
        <v>22500</v>
      </c>
      <c r="E131" s="58">
        <f t="shared" si="30"/>
        <v>0.55305438417271413</v>
      </c>
    </row>
    <row r="132" spans="1:5" ht="54.75" customHeight="1">
      <c r="A132" s="10" t="s">
        <v>243</v>
      </c>
      <c r="B132" s="15" t="s">
        <v>244</v>
      </c>
      <c r="C132" s="12">
        <f>C133</f>
        <v>18030.8</v>
      </c>
      <c r="D132" s="12">
        <f>D133</f>
        <v>15250</v>
      </c>
      <c r="E132" s="57">
        <f>D132/C132</f>
        <v>0.8457750072098853</v>
      </c>
    </row>
    <row r="133" spans="1:5" ht="78" customHeight="1">
      <c r="A133" s="10" t="s">
        <v>245</v>
      </c>
      <c r="B133" s="15" t="s">
        <v>246</v>
      </c>
      <c r="C133" s="13">
        <v>18030.8</v>
      </c>
      <c r="D133" s="13">
        <v>15250</v>
      </c>
      <c r="E133" s="58">
        <f t="shared" si="30"/>
        <v>0.8457750072098853</v>
      </c>
    </row>
    <row r="134" spans="1:5" ht="56.25">
      <c r="A134" s="10" t="s">
        <v>247</v>
      </c>
      <c r="B134" s="15" t="s">
        <v>248</v>
      </c>
      <c r="C134" s="12">
        <f>C135+C136</f>
        <v>64201.65</v>
      </c>
      <c r="D134" s="12">
        <f>D135+D136</f>
        <v>54650</v>
      </c>
      <c r="E134" s="57">
        <f>D134/C134</f>
        <v>0.85122422866078984</v>
      </c>
    </row>
    <row r="135" spans="1:5" ht="88.5" customHeight="1">
      <c r="A135" s="10" t="s">
        <v>249</v>
      </c>
      <c r="B135" s="15" t="s">
        <v>250</v>
      </c>
      <c r="C135" s="13">
        <v>44201.65</v>
      </c>
      <c r="D135" s="13">
        <v>24650</v>
      </c>
      <c r="E135" s="58">
        <f t="shared" si="30"/>
        <v>0.5576714896389614</v>
      </c>
    </row>
    <row r="136" spans="1:5" ht="90" customHeight="1">
      <c r="A136" s="10" t="s">
        <v>251</v>
      </c>
      <c r="B136" s="15" t="s">
        <v>252</v>
      </c>
      <c r="C136" s="13">
        <v>20000</v>
      </c>
      <c r="D136" s="13">
        <v>30000</v>
      </c>
      <c r="E136" s="58">
        <f t="shared" si="30"/>
        <v>1.5</v>
      </c>
    </row>
    <row r="137" spans="1:5" ht="43.5" customHeight="1">
      <c r="A137" s="10" t="s">
        <v>253</v>
      </c>
      <c r="B137" s="15" t="s">
        <v>254</v>
      </c>
      <c r="C137" s="12">
        <f>C138</f>
        <v>1610.22</v>
      </c>
      <c r="D137" s="12">
        <f>D138</f>
        <v>1500</v>
      </c>
      <c r="E137" s="57">
        <f>D137/C137</f>
        <v>0.93154972612438047</v>
      </c>
    </row>
    <row r="138" spans="1:5" ht="68.25" customHeight="1">
      <c r="A138" s="10" t="s">
        <v>255</v>
      </c>
      <c r="B138" s="15" t="s">
        <v>256</v>
      </c>
      <c r="C138" s="13">
        <v>1610.22</v>
      </c>
      <c r="D138" s="13">
        <v>1500</v>
      </c>
      <c r="E138" s="58">
        <f t="shared" si="30"/>
        <v>0.93154972612438047</v>
      </c>
    </row>
    <row r="139" spans="1:5" ht="78.75" hidden="1">
      <c r="A139" s="10" t="s">
        <v>257</v>
      </c>
      <c r="B139" s="15" t="s">
        <v>258</v>
      </c>
      <c r="C139" s="12">
        <f>C140</f>
        <v>0</v>
      </c>
      <c r="D139" s="12">
        <f>D140</f>
        <v>0</v>
      </c>
      <c r="E139" s="62">
        <f>E140</f>
        <v>0</v>
      </c>
    </row>
    <row r="140" spans="1:5" ht="90" hidden="1" customHeight="1">
      <c r="A140" s="10" t="s">
        <v>259</v>
      </c>
      <c r="B140" s="15" t="s">
        <v>260</v>
      </c>
      <c r="C140" s="13">
        <f>1000-1000</f>
        <v>0</v>
      </c>
      <c r="D140" s="13">
        <v>0</v>
      </c>
      <c r="E140" s="59">
        <v>0</v>
      </c>
    </row>
    <row r="141" spans="1:5" ht="45">
      <c r="A141" s="10" t="s">
        <v>261</v>
      </c>
      <c r="B141" s="15" t="s">
        <v>262</v>
      </c>
      <c r="C141" s="12">
        <f>C142+C143</f>
        <v>37636.689999999944</v>
      </c>
      <c r="D141" s="12">
        <f>D142+D143</f>
        <v>40365.279999999999</v>
      </c>
      <c r="E141" s="57">
        <f>D141/C141</f>
        <v>1.0724981394485025</v>
      </c>
    </row>
    <row r="142" spans="1:5" ht="56.25" customHeight="1">
      <c r="A142" s="10" t="s">
        <v>263</v>
      </c>
      <c r="B142" s="15" t="s">
        <v>264</v>
      </c>
      <c r="C142" s="13">
        <f>1010262.95-984426.26+11500</f>
        <v>37336.689999999944</v>
      </c>
      <c r="D142" s="13">
        <v>40065.279999999999</v>
      </c>
      <c r="E142" s="58">
        <f t="shared" ref="E142:E145" si="31">D142/C142</f>
        <v>1.073080661408391</v>
      </c>
    </row>
    <row r="143" spans="1:5" ht="54.75" customHeight="1">
      <c r="A143" s="10" t="s">
        <v>265</v>
      </c>
      <c r="B143" s="15" t="s">
        <v>266</v>
      </c>
      <c r="C143" s="13">
        <f>1500-1500+300</f>
        <v>300</v>
      </c>
      <c r="D143" s="13">
        <v>300</v>
      </c>
      <c r="E143" s="58">
        <f t="shared" si="31"/>
        <v>1</v>
      </c>
    </row>
    <row r="144" spans="1:5" ht="56.25">
      <c r="A144" s="10" t="s">
        <v>267</v>
      </c>
      <c r="B144" s="15" t="s">
        <v>268</v>
      </c>
      <c r="C144" s="12">
        <f>C145+C146</f>
        <v>415197.64</v>
      </c>
      <c r="D144" s="12">
        <f>D145+D146</f>
        <v>506022.49</v>
      </c>
      <c r="E144" s="57">
        <f>D144/C144</f>
        <v>1.2187508821100235</v>
      </c>
    </row>
    <row r="145" spans="1:8" ht="65.25" customHeight="1">
      <c r="A145" s="10" t="s">
        <v>269</v>
      </c>
      <c r="B145" s="15" t="s">
        <v>270</v>
      </c>
      <c r="C145" s="13">
        <f>354101.25+1250+59846.39</f>
        <v>415197.64</v>
      </c>
      <c r="D145" s="13">
        <v>506022.49</v>
      </c>
      <c r="E145" s="58">
        <f t="shared" si="31"/>
        <v>1.2187508821100235</v>
      </c>
    </row>
    <row r="146" spans="1:8" ht="65.25" hidden="1" customHeight="1">
      <c r="A146" s="10" t="s">
        <v>271</v>
      </c>
      <c r="B146" s="15" t="s">
        <v>272</v>
      </c>
      <c r="C146" s="13">
        <f>5000-5000</f>
        <v>0</v>
      </c>
      <c r="D146" s="13">
        <v>0</v>
      </c>
      <c r="E146" s="59">
        <v>0</v>
      </c>
    </row>
    <row r="147" spans="1:8" ht="33.75">
      <c r="A147" s="10" t="s">
        <v>273</v>
      </c>
      <c r="B147" s="15" t="s">
        <v>274</v>
      </c>
      <c r="C147" s="12">
        <f>C148</f>
        <v>193190.57</v>
      </c>
      <c r="D147" s="12">
        <f>D148</f>
        <v>202246.32</v>
      </c>
      <c r="E147" s="57">
        <f>D147/C147</f>
        <v>1.0468746999400644</v>
      </c>
    </row>
    <row r="148" spans="1:8" ht="45">
      <c r="A148" s="10" t="s">
        <v>275</v>
      </c>
      <c r="B148" s="15" t="s">
        <v>276</v>
      </c>
      <c r="C148" s="13">
        <f>300000-150000+43190.57</f>
        <v>193190.57</v>
      </c>
      <c r="D148" s="13">
        <v>202246.32</v>
      </c>
      <c r="E148" s="58">
        <f t="shared" ref="E148" si="32">D148/C148</f>
        <v>1.0468746999400644</v>
      </c>
    </row>
    <row r="149" spans="1:8" ht="90">
      <c r="A149" s="10" t="s">
        <v>277</v>
      </c>
      <c r="B149" s="15" t="s">
        <v>278</v>
      </c>
      <c r="C149" s="12">
        <f>C150+C152</f>
        <v>1140959.1100000001</v>
      </c>
      <c r="D149" s="12">
        <f>D150+D152</f>
        <v>3209551.33</v>
      </c>
      <c r="E149" s="57">
        <f>D149/C149</f>
        <v>2.8130292329231672</v>
      </c>
    </row>
    <row r="150" spans="1:8" ht="46.5" customHeight="1">
      <c r="A150" s="10" t="s">
        <v>279</v>
      </c>
      <c r="B150" s="15" t="s">
        <v>280</v>
      </c>
      <c r="C150" s="12">
        <f t="shared" ref="C150:D150" si="33">C151</f>
        <v>233633.09</v>
      </c>
      <c r="D150" s="12">
        <f t="shared" si="33"/>
        <v>2302225.31</v>
      </c>
      <c r="E150" s="57">
        <f>D150/C150</f>
        <v>9.8540207211230229</v>
      </c>
    </row>
    <row r="151" spans="1:8" ht="60" customHeight="1">
      <c r="A151" s="10" t="s">
        <v>281</v>
      </c>
      <c r="B151" s="15" t="s">
        <v>282</v>
      </c>
      <c r="C151" s="13">
        <f>30000+30000+173633.09</f>
        <v>233633.09</v>
      </c>
      <c r="D151" s="13">
        <v>2302225.31</v>
      </c>
      <c r="E151" s="58">
        <f t="shared" ref="E151:E153" si="34">D151/C151</f>
        <v>9.8540207211230229</v>
      </c>
    </row>
    <row r="152" spans="1:8" ht="54.75" customHeight="1">
      <c r="A152" s="10" t="s">
        <v>283</v>
      </c>
      <c r="B152" s="15" t="s">
        <v>284</v>
      </c>
      <c r="C152" s="12">
        <f t="shared" ref="C152:H152" si="35">C153</f>
        <v>907326.02</v>
      </c>
      <c r="D152" s="12">
        <f t="shared" si="35"/>
        <v>907326.02</v>
      </c>
      <c r="E152" s="57">
        <f>D152/C152</f>
        <v>1</v>
      </c>
      <c r="F152" s="12">
        <f t="shared" si="35"/>
        <v>0</v>
      </c>
      <c r="G152" s="12">
        <f t="shared" si="35"/>
        <v>0</v>
      </c>
      <c r="H152" s="12">
        <f t="shared" si="35"/>
        <v>0</v>
      </c>
    </row>
    <row r="153" spans="1:8" ht="54.75" customHeight="1">
      <c r="A153" s="10" t="s">
        <v>285</v>
      </c>
      <c r="B153" s="15" t="s">
        <v>286</v>
      </c>
      <c r="C153" s="13">
        <f>20000+887326.02</f>
        <v>907326.02</v>
      </c>
      <c r="D153" s="13">
        <v>907326.02</v>
      </c>
      <c r="E153" s="58">
        <f t="shared" si="34"/>
        <v>1</v>
      </c>
    </row>
    <row r="154" spans="1:8" ht="14.25" customHeight="1">
      <c r="A154" s="10" t="s">
        <v>287</v>
      </c>
      <c r="B154" s="15" t="s">
        <v>288</v>
      </c>
      <c r="C154" s="12">
        <f>C155+C157</f>
        <v>500</v>
      </c>
      <c r="D154" s="12">
        <f>D155+D157</f>
        <v>5000</v>
      </c>
      <c r="E154" s="57">
        <f>D154/C154</f>
        <v>10</v>
      </c>
    </row>
    <row r="155" spans="1:8" ht="58.5" hidden="1" customHeight="1">
      <c r="A155" s="10" t="s">
        <v>289</v>
      </c>
      <c r="B155" s="15" t="s">
        <v>290</v>
      </c>
      <c r="C155" s="12">
        <f>C156</f>
        <v>0</v>
      </c>
      <c r="D155" s="12">
        <f>D156</f>
        <v>0</v>
      </c>
      <c r="E155" s="57" t="e">
        <f t="shared" ref="E155:E161" si="36">D155/C155</f>
        <v>#DIV/0!</v>
      </c>
    </row>
    <row r="156" spans="1:8" ht="42.75" hidden="1" customHeight="1">
      <c r="A156" s="10" t="s">
        <v>291</v>
      </c>
      <c r="B156" s="15" t="s">
        <v>292</v>
      </c>
      <c r="C156" s="13">
        <v>0</v>
      </c>
      <c r="D156" s="13">
        <v>0</v>
      </c>
      <c r="E156" s="57" t="e">
        <f t="shared" si="36"/>
        <v>#DIV/0!</v>
      </c>
    </row>
    <row r="157" spans="1:8" ht="56.25" customHeight="1">
      <c r="A157" s="10" t="s">
        <v>293</v>
      </c>
      <c r="B157" s="15" t="s">
        <v>294</v>
      </c>
      <c r="C157" s="12">
        <f>C158+C159</f>
        <v>500</v>
      </c>
      <c r="D157" s="12">
        <f>D158+D159</f>
        <v>5000</v>
      </c>
      <c r="E157" s="57">
        <f t="shared" si="36"/>
        <v>10</v>
      </c>
    </row>
    <row r="158" spans="1:8" ht="48" customHeight="1">
      <c r="A158" s="10" t="s">
        <v>295</v>
      </c>
      <c r="B158" s="15" t="s">
        <v>296</v>
      </c>
      <c r="C158" s="13">
        <f>5500-5000</f>
        <v>500</v>
      </c>
      <c r="D158" s="13">
        <v>5000</v>
      </c>
      <c r="E158" s="58">
        <f t="shared" si="36"/>
        <v>10</v>
      </c>
    </row>
    <row r="159" spans="1:8" ht="54" hidden="1" customHeight="1">
      <c r="A159" s="10" t="s">
        <v>297</v>
      </c>
      <c r="B159" s="15" t="s">
        <v>298</v>
      </c>
      <c r="C159" s="13">
        <v>0</v>
      </c>
      <c r="D159" s="13"/>
      <c r="E159" s="59"/>
    </row>
    <row r="160" spans="1:8">
      <c r="A160" s="10" t="s">
        <v>299</v>
      </c>
      <c r="B160" s="15" t="s">
        <v>300</v>
      </c>
      <c r="C160" s="12">
        <f>C162+C161</f>
        <v>714858</v>
      </c>
      <c r="D160" s="12">
        <f>D162+D161</f>
        <v>714858</v>
      </c>
      <c r="E160" s="57">
        <f t="shared" si="36"/>
        <v>1</v>
      </c>
    </row>
    <row r="161" spans="1:8" ht="78.75" customHeight="1">
      <c r="A161" s="10" t="s">
        <v>301</v>
      </c>
      <c r="B161" s="15" t="s">
        <v>302</v>
      </c>
      <c r="C161" s="12">
        <f>3000+624967+86891</f>
        <v>714858</v>
      </c>
      <c r="D161" s="12">
        <v>714858</v>
      </c>
      <c r="E161" s="57">
        <f t="shared" si="36"/>
        <v>1</v>
      </c>
    </row>
    <row r="162" spans="1:8" ht="22.5" hidden="1">
      <c r="A162" s="10" t="s">
        <v>303</v>
      </c>
      <c r="B162" s="15" t="s">
        <v>304</v>
      </c>
      <c r="C162" s="12">
        <f>C163</f>
        <v>0</v>
      </c>
      <c r="D162" s="12">
        <f>D163</f>
        <v>0</v>
      </c>
      <c r="E162" s="62">
        <f>E163</f>
        <v>0</v>
      </c>
    </row>
    <row r="163" spans="1:8" ht="43.5" hidden="1" customHeight="1">
      <c r="A163" s="10" t="s">
        <v>305</v>
      </c>
      <c r="B163" s="15" t="s">
        <v>306</v>
      </c>
      <c r="C163" s="13">
        <v>0</v>
      </c>
      <c r="D163" s="13">
        <v>0</v>
      </c>
      <c r="E163" s="59">
        <v>0</v>
      </c>
    </row>
    <row r="164" spans="1:8">
      <c r="A164" s="6" t="s">
        <v>307</v>
      </c>
      <c r="B164" s="8" t="s">
        <v>308</v>
      </c>
      <c r="C164" s="9">
        <f>C165+C288+C294+C301+C309+C313</f>
        <v>1525626251.4300001</v>
      </c>
      <c r="D164" s="9">
        <f>D165+D288+D294+D301+D309+D313</f>
        <v>1472211884.01</v>
      </c>
      <c r="E164" s="56">
        <f>D164/C164</f>
        <v>0.96498856297868907</v>
      </c>
      <c r="F164" s="9">
        <f>F165+F288+F294+F301+F309+F313</f>
        <v>471394967.09000003</v>
      </c>
      <c r="G164" s="9">
        <f>G165+G288+G294+G301+G309+G313</f>
        <v>89104346.109999999</v>
      </c>
      <c r="H164" s="9">
        <f>H165+H288+H294+H301+H309+H313</f>
        <v>132998025.61</v>
      </c>
    </row>
    <row r="165" spans="1:8" ht="35.25" customHeight="1">
      <c r="A165" s="6" t="s">
        <v>309</v>
      </c>
      <c r="B165" s="8" t="s">
        <v>310</v>
      </c>
      <c r="C165" s="9">
        <f>C166+C173+C232+C256</f>
        <v>1525153163.3400002</v>
      </c>
      <c r="D165" s="9">
        <f>D166+D173+D232+D256</f>
        <v>1471906150.9199998</v>
      </c>
      <c r="E165" s="56">
        <f t="shared" ref="E165:E175" si="37">D165/C165</f>
        <v>0.96508743272485997</v>
      </c>
      <c r="F165" s="9">
        <f>C165-1054396859.32</f>
        <v>470756304.0200001</v>
      </c>
      <c r="G165" s="9">
        <f>G173+G232+G256</f>
        <v>89104346.109999999</v>
      </c>
      <c r="H165" s="9">
        <f>H173+H232+H256</f>
        <v>132998025.61</v>
      </c>
    </row>
    <row r="166" spans="1:8" ht="21.75">
      <c r="A166" s="6" t="s">
        <v>311</v>
      </c>
      <c r="B166" s="18" t="s">
        <v>312</v>
      </c>
      <c r="C166" s="9">
        <f>C167+C169+C171</f>
        <v>37525133.780000001</v>
      </c>
      <c r="D166" s="9">
        <f>D167+D169+D171</f>
        <v>37525133.780000001</v>
      </c>
      <c r="E166" s="56">
        <f t="shared" si="37"/>
        <v>1</v>
      </c>
      <c r="F166" s="9">
        <v>1001461.03</v>
      </c>
    </row>
    <row r="167" spans="1:8">
      <c r="A167" s="10" t="s">
        <v>313</v>
      </c>
      <c r="B167" s="15" t="s">
        <v>314</v>
      </c>
      <c r="C167" s="12">
        <f>C168</f>
        <v>3356716.94</v>
      </c>
      <c r="D167" s="12">
        <f>D168</f>
        <v>3356716.94</v>
      </c>
      <c r="E167" s="57">
        <f t="shared" si="37"/>
        <v>1</v>
      </c>
    </row>
    <row r="168" spans="1:8" ht="33.75">
      <c r="A168" s="10" t="s">
        <v>315</v>
      </c>
      <c r="B168" s="15" t="s">
        <v>316</v>
      </c>
      <c r="C168" s="13">
        <v>3356716.94</v>
      </c>
      <c r="D168" s="13">
        <v>3356716.94</v>
      </c>
      <c r="E168" s="58">
        <f t="shared" si="37"/>
        <v>1</v>
      </c>
      <c r="F168" s="19"/>
    </row>
    <row r="169" spans="1:8" ht="22.5">
      <c r="A169" s="10" t="s">
        <v>317</v>
      </c>
      <c r="B169" s="15" t="s">
        <v>318</v>
      </c>
      <c r="C169" s="12">
        <f>C170</f>
        <v>11085984</v>
      </c>
      <c r="D169" s="12">
        <f>D170</f>
        <v>11085984</v>
      </c>
      <c r="E169" s="57">
        <f t="shared" si="37"/>
        <v>1</v>
      </c>
    </row>
    <row r="170" spans="1:8" ht="22.5">
      <c r="A170" s="10" t="s">
        <v>319</v>
      </c>
      <c r="B170" s="15" t="s">
        <v>320</v>
      </c>
      <c r="C170" s="13">
        <f>11085984</f>
        <v>11085984</v>
      </c>
      <c r="D170" s="13">
        <v>11085984</v>
      </c>
      <c r="E170" s="58">
        <f t="shared" si="37"/>
        <v>1</v>
      </c>
    </row>
    <row r="171" spans="1:8">
      <c r="A171" s="10" t="s">
        <v>321</v>
      </c>
      <c r="B171" s="15" t="s">
        <v>322</v>
      </c>
      <c r="C171" s="12">
        <f>C172</f>
        <v>23082432.84</v>
      </c>
      <c r="D171" s="12">
        <f>D172</f>
        <v>23082432.84</v>
      </c>
      <c r="E171" s="57">
        <f t="shared" si="37"/>
        <v>1</v>
      </c>
    </row>
    <row r="172" spans="1:8">
      <c r="A172" s="10" t="s">
        <v>323</v>
      </c>
      <c r="B172" s="15" t="s">
        <v>324</v>
      </c>
      <c r="C172" s="13">
        <f>9322585.03+2339454.31+1400000+2409233.6+4578933.19+3032226.71</f>
        <v>23082432.84</v>
      </c>
      <c r="D172" s="13">
        <v>23082432.84</v>
      </c>
      <c r="E172" s="58">
        <f t="shared" si="37"/>
        <v>1</v>
      </c>
      <c r="F172" s="13">
        <v>1001461.03</v>
      </c>
    </row>
    <row r="173" spans="1:8" ht="25.5" customHeight="1">
      <c r="A173" s="6" t="s">
        <v>325</v>
      </c>
      <c r="B173" s="16" t="s">
        <v>326</v>
      </c>
      <c r="C173" s="9">
        <f>C174+C176+C182+C186+C188+C192+C196+C200+C202+C210+C204+C184+C180+C190+C208+C198+C206+C194</f>
        <v>205105190.62000003</v>
      </c>
      <c r="D173" s="9">
        <f>D174+D176+D182+D186+D188+D192+D196+D200+D202+D210+D204+D184+D180+D190+D208+D198+D206+D194</f>
        <v>170932643.54000002</v>
      </c>
      <c r="E173" s="56">
        <f t="shared" si="37"/>
        <v>0.83339014007055656</v>
      </c>
      <c r="F173" s="9">
        <v>136096078.65000001</v>
      </c>
      <c r="G173" s="9">
        <f>104851337.48-78438990.71+G179</f>
        <v>94905497.460000008</v>
      </c>
      <c r="H173" s="9">
        <f>59938494.7-58139802.45+H179</f>
        <v>138784993.62</v>
      </c>
    </row>
    <row r="174" spans="1:8" ht="24.75" customHeight="1">
      <c r="A174" s="10" t="s">
        <v>327</v>
      </c>
      <c r="B174" s="15" t="s">
        <v>328</v>
      </c>
      <c r="C174" s="12">
        <f>C175</f>
        <v>7014817.4699999997</v>
      </c>
      <c r="D174" s="12">
        <f>D175</f>
        <v>6046885.8399999999</v>
      </c>
      <c r="E174" s="57">
        <f t="shared" si="37"/>
        <v>0.86201613454098902</v>
      </c>
      <c r="F174" s="19"/>
      <c r="G174" s="19"/>
      <c r="H174" s="19"/>
    </row>
    <row r="175" spans="1:8" ht="33.75">
      <c r="A175" s="10" t="s">
        <v>329</v>
      </c>
      <c r="B175" s="15" t="s">
        <v>330</v>
      </c>
      <c r="C175" s="13">
        <f>91875308.24-91875308.24+13500000-6485182.53</f>
        <v>7014817.4699999997</v>
      </c>
      <c r="D175" s="13">
        <v>6046885.8399999999</v>
      </c>
      <c r="E175" s="58">
        <f t="shared" si="37"/>
        <v>0.86201613454098902</v>
      </c>
    </row>
    <row r="176" spans="1:8" ht="43.5" hidden="1" customHeight="1">
      <c r="A176" s="10" t="s">
        <v>331</v>
      </c>
      <c r="B176" s="11" t="s">
        <v>332</v>
      </c>
      <c r="C176" s="12">
        <f>C177</f>
        <v>0</v>
      </c>
      <c r="D176" s="12">
        <f>D177</f>
        <v>0</v>
      </c>
      <c r="E176" s="62">
        <f>E177</f>
        <v>0</v>
      </c>
    </row>
    <row r="177" spans="1:8" ht="45" hidden="1" customHeight="1">
      <c r="A177" s="10" t="s">
        <v>333</v>
      </c>
      <c r="B177" s="15" t="s">
        <v>334</v>
      </c>
      <c r="C177" s="13"/>
      <c r="D177" s="13">
        <v>0</v>
      </c>
      <c r="E177" s="59">
        <v>0</v>
      </c>
    </row>
    <row r="178" spans="1:8" ht="78" hidden="1" customHeight="1">
      <c r="A178" s="10" t="s">
        <v>335</v>
      </c>
      <c r="B178" s="15" t="s">
        <v>336</v>
      </c>
      <c r="C178" s="12">
        <f>C179</f>
        <v>0</v>
      </c>
      <c r="D178" s="12">
        <f>D179</f>
        <v>0</v>
      </c>
      <c r="E178" s="62">
        <f>E179</f>
        <v>0</v>
      </c>
    </row>
    <row r="179" spans="1:8" ht="75.75" hidden="1" customHeight="1">
      <c r="A179" s="10" t="s">
        <v>337</v>
      </c>
      <c r="B179" s="15" t="s">
        <v>338</v>
      </c>
      <c r="C179" s="13">
        <v>0</v>
      </c>
      <c r="D179" s="13">
        <v>0</v>
      </c>
      <c r="E179" s="59">
        <v>0</v>
      </c>
      <c r="G179" s="13">
        <v>68493150.689999998</v>
      </c>
      <c r="H179" s="13">
        <v>136986301.37</v>
      </c>
    </row>
    <row r="180" spans="1:8" ht="33.75" customHeight="1">
      <c r="A180" s="10" t="s">
        <v>339</v>
      </c>
      <c r="B180" s="15" t="s">
        <v>340</v>
      </c>
      <c r="C180" s="12">
        <f>C181</f>
        <v>890000</v>
      </c>
      <c r="D180" s="12">
        <f>D181</f>
        <v>890000</v>
      </c>
      <c r="E180" s="57">
        <f t="shared" ref="E180:E181" si="38">D180/C180</f>
        <v>1</v>
      </c>
    </row>
    <row r="181" spans="1:8" ht="32.25" customHeight="1">
      <c r="A181" s="10" t="s">
        <v>341</v>
      </c>
      <c r="B181" s="15" t="s">
        <v>342</v>
      </c>
      <c r="C181" s="13">
        <f>890000</f>
        <v>890000</v>
      </c>
      <c r="D181" s="13">
        <v>890000</v>
      </c>
      <c r="E181" s="58">
        <f t="shared" si="38"/>
        <v>1</v>
      </c>
      <c r="F181" s="13">
        <v>55024791.399999999</v>
      </c>
      <c r="G181" s="13"/>
      <c r="H181" s="13"/>
    </row>
    <row r="182" spans="1:8" ht="54" hidden="1" customHeight="1">
      <c r="A182" s="10" t="s">
        <v>343</v>
      </c>
      <c r="B182" s="15" t="s">
        <v>344</v>
      </c>
      <c r="C182" s="12">
        <f>C183</f>
        <v>0</v>
      </c>
      <c r="D182" s="12">
        <f>D183</f>
        <v>0</v>
      </c>
      <c r="E182" s="62">
        <f>E183</f>
        <v>0</v>
      </c>
    </row>
    <row r="183" spans="1:8" ht="54" hidden="1" customHeight="1">
      <c r="A183" s="10" t="s">
        <v>345</v>
      </c>
      <c r="B183" s="15" t="s">
        <v>346</v>
      </c>
      <c r="C183" s="13">
        <f>2195127.27-2195127.27</f>
        <v>0</v>
      </c>
      <c r="D183" s="13">
        <f>2209883.79-2209883.79</f>
        <v>0</v>
      </c>
      <c r="E183" s="59">
        <v>0</v>
      </c>
      <c r="F183" s="13">
        <v>-2195127.27</v>
      </c>
      <c r="G183" s="13">
        <v>-2209883.79</v>
      </c>
      <c r="H183" s="13"/>
    </row>
    <row r="184" spans="1:8" ht="57" customHeight="1">
      <c r="A184" s="10" t="s">
        <v>347</v>
      </c>
      <c r="B184" s="15" t="s">
        <v>348</v>
      </c>
      <c r="C184" s="12">
        <f>C185</f>
        <v>2241758.06</v>
      </c>
      <c r="D184" s="12">
        <f>D185</f>
        <v>2111310.63</v>
      </c>
      <c r="E184" s="57">
        <f t="shared" ref="E184:E185" si="39">D184/C184</f>
        <v>0.9418102103310827</v>
      </c>
    </row>
    <row r="185" spans="1:8" ht="67.5" customHeight="1">
      <c r="A185" s="10" t="s">
        <v>349</v>
      </c>
      <c r="B185" s="15" t="s">
        <v>350</v>
      </c>
      <c r="C185" s="13">
        <v>2241758.06</v>
      </c>
      <c r="D185" s="13">
        <v>2111310.63</v>
      </c>
      <c r="E185" s="58">
        <f t="shared" si="39"/>
        <v>0.9418102103310827</v>
      </c>
      <c r="F185" s="13">
        <v>1503579.95</v>
      </c>
      <c r="G185" s="13">
        <v>2378073.5699999998</v>
      </c>
      <c r="H185" s="13"/>
    </row>
    <row r="186" spans="1:8" ht="33.75" hidden="1">
      <c r="A186" s="10" t="s">
        <v>351</v>
      </c>
      <c r="B186" s="15" t="s">
        <v>352</v>
      </c>
      <c r="C186" s="12">
        <f>C187</f>
        <v>0</v>
      </c>
      <c r="D186" s="12">
        <f>D187</f>
        <v>0</v>
      </c>
      <c r="E186" s="62">
        <f>E187</f>
        <v>0</v>
      </c>
    </row>
    <row r="187" spans="1:8" ht="36" hidden="1" customHeight="1">
      <c r="A187" s="10" t="s">
        <v>353</v>
      </c>
      <c r="B187" s="15" t="s">
        <v>354</v>
      </c>
      <c r="C187" s="13">
        <f>7140937.28-7140937.28</f>
        <v>0</v>
      </c>
      <c r="D187" s="13">
        <f>19939132.39-19939132.39</f>
        <v>0</v>
      </c>
      <c r="E187" s="59">
        <v>0</v>
      </c>
      <c r="F187" s="13">
        <v>-7140937.2800000003</v>
      </c>
      <c r="G187" s="13">
        <v>-19939132.390000001</v>
      </c>
      <c r="H187" s="13"/>
    </row>
    <row r="188" spans="1:8" ht="56.25" hidden="1" customHeight="1">
      <c r="A188" s="10" t="s">
        <v>355</v>
      </c>
      <c r="B188" s="15" t="s">
        <v>356</v>
      </c>
      <c r="C188" s="12">
        <f>C189</f>
        <v>0</v>
      </c>
      <c r="D188" s="12">
        <f>D189</f>
        <v>0</v>
      </c>
      <c r="E188" s="62">
        <f>E189</f>
        <v>0</v>
      </c>
    </row>
    <row r="189" spans="1:8" ht="56.25" hidden="1" customHeight="1">
      <c r="A189" s="10" t="s">
        <v>357</v>
      </c>
      <c r="B189" s="15" t="s">
        <v>358</v>
      </c>
      <c r="C189" s="13"/>
      <c r="D189" s="13"/>
      <c r="E189" s="59"/>
    </row>
    <row r="190" spans="1:8" ht="44.25" customHeight="1">
      <c r="A190" s="10" t="s">
        <v>359</v>
      </c>
      <c r="B190" s="15" t="s">
        <v>360</v>
      </c>
      <c r="C190" s="12">
        <f>C191</f>
        <v>10621623.51</v>
      </c>
      <c r="D190" s="12">
        <f>D191</f>
        <v>9015213.3000000007</v>
      </c>
      <c r="E190" s="57">
        <f t="shared" ref="E190:E203" si="40">D190/C190</f>
        <v>0.84876038879672178</v>
      </c>
    </row>
    <row r="191" spans="1:8" ht="43.5" customHeight="1">
      <c r="A191" s="10" t="s">
        <v>361</v>
      </c>
      <c r="B191" s="15" t="s">
        <v>362</v>
      </c>
      <c r="C191" s="13">
        <v>10621623.51</v>
      </c>
      <c r="D191" s="13">
        <v>9015213.3000000007</v>
      </c>
      <c r="E191" s="58">
        <f t="shared" si="40"/>
        <v>0.84876038879672178</v>
      </c>
      <c r="F191" s="13">
        <v>7095001.2999999998</v>
      </c>
      <c r="G191" s="13">
        <v>19939132.390000001</v>
      </c>
      <c r="H191" s="13"/>
    </row>
    <row r="192" spans="1:8" ht="43.5" customHeight="1">
      <c r="A192" s="10" t="s">
        <v>363</v>
      </c>
      <c r="B192" s="15" t="s">
        <v>364</v>
      </c>
      <c r="C192" s="12">
        <f>C193</f>
        <v>30326089.649999999</v>
      </c>
      <c r="D192" s="17">
        <f>D193</f>
        <v>26816518.629999999</v>
      </c>
      <c r="E192" s="57">
        <f t="shared" si="40"/>
        <v>0.88427222037180786</v>
      </c>
    </row>
    <row r="193" spans="1:8" ht="43.5" customHeight="1">
      <c r="A193" s="10" t="s">
        <v>365</v>
      </c>
      <c r="B193" s="15" t="s">
        <v>366</v>
      </c>
      <c r="C193" s="13">
        <f>30326664.11-574.46</f>
        <v>30326089.649999999</v>
      </c>
      <c r="D193" s="13">
        <v>26816518.629999999</v>
      </c>
      <c r="E193" s="58">
        <f t="shared" si="40"/>
        <v>0.88427222037180786</v>
      </c>
    </row>
    <row r="194" spans="1:8" ht="34.5" customHeight="1">
      <c r="A194" s="10" t="s">
        <v>367</v>
      </c>
      <c r="B194" s="15" t="s">
        <v>368</v>
      </c>
      <c r="C194" s="12">
        <f>C195</f>
        <v>1000000</v>
      </c>
      <c r="D194" s="17">
        <f>D195</f>
        <v>1000000</v>
      </c>
      <c r="E194" s="57">
        <f t="shared" si="40"/>
        <v>1</v>
      </c>
    </row>
    <row r="195" spans="1:8" ht="45">
      <c r="A195" s="10" t="s">
        <v>369</v>
      </c>
      <c r="B195" s="15" t="s">
        <v>370</v>
      </c>
      <c r="C195" s="13">
        <v>1000000</v>
      </c>
      <c r="D195" s="13">
        <v>1000000</v>
      </c>
      <c r="E195" s="58">
        <f t="shared" si="40"/>
        <v>1</v>
      </c>
    </row>
    <row r="196" spans="1:8" ht="22.5">
      <c r="A196" s="10" t="s">
        <v>371</v>
      </c>
      <c r="B196" s="15" t="s">
        <v>372</v>
      </c>
      <c r="C196" s="12">
        <f>C197</f>
        <v>9300501</v>
      </c>
      <c r="D196" s="12">
        <f>D197</f>
        <v>9300501</v>
      </c>
      <c r="E196" s="57">
        <f t="shared" si="40"/>
        <v>1</v>
      </c>
    </row>
    <row r="197" spans="1:8" ht="22.5">
      <c r="A197" s="10" t="s">
        <v>373</v>
      </c>
      <c r="B197" s="15" t="s">
        <v>374</v>
      </c>
      <c r="C197" s="13">
        <f>7871955.2+1428545.8</f>
        <v>9300501</v>
      </c>
      <c r="D197" s="13">
        <v>9300501</v>
      </c>
      <c r="E197" s="58">
        <f t="shared" si="40"/>
        <v>1</v>
      </c>
      <c r="F197" s="13">
        <v>-1210989.78</v>
      </c>
    </row>
    <row r="198" spans="1:8" ht="22.5">
      <c r="A198" s="10" t="s">
        <v>375</v>
      </c>
      <c r="B198" s="15" t="s">
        <v>376</v>
      </c>
      <c r="C198" s="17">
        <f>C199</f>
        <v>2528645.77</v>
      </c>
      <c r="D198" s="17">
        <f>D199</f>
        <v>2528645.77</v>
      </c>
      <c r="E198" s="57">
        <f t="shared" si="40"/>
        <v>1</v>
      </c>
      <c r="F198" s="20"/>
    </row>
    <row r="199" spans="1:8" ht="22.5">
      <c r="A199" s="10" t="s">
        <v>377</v>
      </c>
      <c r="B199" s="15" t="s">
        <v>378</v>
      </c>
      <c r="C199" s="13">
        <v>2528645.77</v>
      </c>
      <c r="D199" s="13">
        <v>2528645.77</v>
      </c>
      <c r="E199" s="58">
        <f t="shared" si="40"/>
        <v>1</v>
      </c>
      <c r="F199" s="20"/>
    </row>
    <row r="200" spans="1:8">
      <c r="A200" s="10" t="s">
        <v>379</v>
      </c>
      <c r="B200" s="11" t="s">
        <v>380</v>
      </c>
      <c r="C200" s="12">
        <f>C201</f>
        <v>259972.6</v>
      </c>
      <c r="D200" s="12">
        <f>D201</f>
        <v>259972.6</v>
      </c>
      <c r="E200" s="57">
        <f t="shared" si="40"/>
        <v>1</v>
      </c>
    </row>
    <row r="201" spans="1:8" ht="22.5">
      <c r="A201" s="10" t="s">
        <v>381</v>
      </c>
      <c r="B201" s="11" t="s">
        <v>382</v>
      </c>
      <c r="C201" s="13">
        <v>259972.6</v>
      </c>
      <c r="D201" s="13">
        <v>259972.6</v>
      </c>
      <c r="E201" s="58">
        <f t="shared" si="40"/>
        <v>1</v>
      </c>
      <c r="F201" s="13"/>
      <c r="G201" s="13"/>
      <c r="H201" s="13">
        <v>259973.1</v>
      </c>
    </row>
    <row r="202" spans="1:8" ht="22.5">
      <c r="A202" s="10" t="s">
        <v>383</v>
      </c>
      <c r="B202" s="11" t="s">
        <v>384</v>
      </c>
      <c r="C202" s="12">
        <f>C203</f>
        <v>21087898.91</v>
      </c>
      <c r="D202" s="12">
        <f>D203</f>
        <v>21087894.960000001</v>
      </c>
      <c r="E202" s="57">
        <f t="shared" si="40"/>
        <v>0.99999981268878346</v>
      </c>
    </row>
    <row r="203" spans="1:8" ht="23.25" customHeight="1">
      <c r="A203" s="10" t="s">
        <v>385</v>
      </c>
      <c r="B203" s="11" t="s">
        <v>386</v>
      </c>
      <c r="C203" s="13">
        <f>21455016.89-65654.72-301463.26</f>
        <v>21087898.91</v>
      </c>
      <c r="D203" s="13">
        <v>21087894.960000001</v>
      </c>
      <c r="E203" s="58">
        <f t="shared" si="40"/>
        <v>0.99999981268878346</v>
      </c>
      <c r="F203" s="13">
        <v>22508018.579999998</v>
      </c>
      <c r="G203" s="13">
        <v>24863180.219999999</v>
      </c>
    </row>
    <row r="204" spans="1:8" ht="24" hidden="1" customHeight="1">
      <c r="A204" s="10" t="s">
        <v>387</v>
      </c>
      <c r="B204" s="11" t="s">
        <v>388</v>
      </c>
      <c r="C204" s="17">
        <f>C205</f>
        <v>0</v>
      </c>
      <c r="D204" s="17">
        <f>D205</f>
        <v>0</v>
      </c>
      <c r="E204" s="60">
        <f>E205</f>
        <v>0</v>
      </c>
    </row>
    <row r="205" spans="1:8" ht="22.5" hidden="1" customHeight="1">
      <c r="A205" s="10" t="s">
        <v>389</v>
      </c>
      <c r="B205" s="11" t="s">
        <v>390</v>
      </c>
      <c r="C205" s="13">
        <f>53570.83-53570.83</f>
        <v>0</v>
      </c>
      <c r="D205" s="13">
        <v>0</v>
      </c>
      <c r="E205" s="59">
        <v>0</v>
      </c>
      <c r="F205" s="13">
        <v>-53570.83</v>
      </c>
    </row>
    <row r="206" spans="1:8" ht="22.5" customHeight="1">
      <c r="A206" s="10" t="s">
        <v>391</v>
      </c>
      <c r="B206" s="11" t="s">
        <v>392</v>
      </c>
      <c r="C206" s="17">
        <f>C207</f>
        <v>2395833.33</v>
      </c>
      <c r="D206" s="17">
        <f>D207</f>
        <v>2395833.33</v>
      </c>
      <c r="E206" s="57">
        <f t="shared" ref="E206:E230" si="41">D206/C206</f>
        <v>1</v>
      </c>
      <c r="F206" s="20"/>
    </row>
    <row r="207" spans="1:8" ht="22.5" customHeight="1">
      <c r="A207" s="10" t="s">
        <v>393</v>
      </c>
      <c r="B207" s="11" t="s">
        <v>394</v>
      </c>
      <c r="C207" s="13">
        <v>2395833.33</v>
      </c>
      <c r="D207" s="13">
        <v>2395833.33</v>
      </c>
      <c r="E207" s="58">
        <f t="shared" si="41"/>
        <v>1</v>
      </c>
      <c r="F207" s="20"/>
    </row>
    <row r="208" spans="1:8" ht="22.5" customHeight="1">
      <c r="A208" s="10" t="s">
        <v>395</v>
      </c>
      <c r="B208" s="11" t="s">
        <v>396</v>
      </c>
      <c r="C208" s="17">
        <f>C209</f>
        <v>1380976.77</v>
      </c>
      <c r="D208" s="17">
        <f>D209</f>
        <v>0</v>
      </c>
      <c r="E208" s="57">
        <f t="shared" si="41"/>
        <v>0</v>
      </c>
    </row>
    <row r="209" spans="1:8" ht="32.25" customHeight="1">
      <c r="A209" s="10" t="s">
        <v>397</v>
      </c>
      <c r="B209" s="11" t="s">
        <v>398</v>
      </c>
      <c r="C209" s="13">
        <v>1380976.77</v>
      </c>
      <c r="D209" s="13">
        <v>0</v>
      </c>
      <c r="E209" s="58">
        <f t="shared" si="41"/>
        <v>0</v>
      </c>
      <c r="F209" s="13">
        <v>513809.7</v>
      </c>
      <c r="G209" s="13">
        <v>1380976.77</v>
      </c>
      <c r="H209" s="13">
        <v>1538719.15</v>
      </c>
    </row>
    <row r="210" spans="1:8">
      <c r="A210" s="21" t="s">
        <v>399</v>
      </c>
      <c r="B210" s="11" t="s">
        <v>400</v>
      </c>
      <c r="C210" s="12">
        <f>C211</f>
        <v>116057073.55</v>
      </c>
      <c r="D210" s="12">
        <f>D211</f>
        <v>89479867.479999989</v>
      </c>
      <c r="E210" s="57">
        <f t="shared" si="41"/>
        <v>0.77099882620640137</v>
      </c>
      <c r="F210" s="12">
        <v>60051502.880000003</v>
      </c>
    </row>
    <row r="211" spans="1:8">
      <c r="A211" s="21" t="s">
        <v>401</v>
      </c>
      <c r="B211" s="11" t="s">
        <v>402</v>
      </c>
      <c r="C211" s="12">
        <f>SUM(C213:C231)</f>
        <v>116057073.55</v>
      </c>
      <c r="D211" s="12">
        <f>SUM(D213:D231)</f>
        <v>89479867.479999989</v>
      </c>
      <c r="E211" s="57">
        <f t="shared" si="41"/>
        <v>0.77099882620640137</v>
      </c>
      <c r="F211" s="12">
        <f>SUM(F213:F226)</f>
        <v>60051502.879999995</v>
      </c>
    </row>
    <row r="212" spans="1:8">
      <c r="A212" s="22"/>
      <c r="B212" s="11" t="s">
        <v>403</v>
      </c>
      <c r="C212" s="12"/>
      <c r="D212" s="12"/>
      <c r="E212" s="62"/>
    </row>
    <row r="213" spans="1:8" ht="45.75" customHeight="1">
      <c r="A213" s="23"/>
      <c r="B213" s="54" t="s">
        <v>404</v>
      </c>
      <c r="C213" s="25">
        <f>6864900+23150561.8</f>
        <v>30015461.800000001</v>
      </c>
      <c r="D213" s="25">
        <v>16923849.73</v>
      </c>
      <c r="E213" s="63">
        <f t="shared" si="41"/>
        <v>0.56383772612820504</v>
      </c>
      <c r="F213" s="25">
        <v>10151300</v>
      </c>
    </row>
    <row r="214" spans="1:8" ht="32.25" customHeight="1">
      <c r="A214" s="23"/>
      <c r="B214" s="54" t="s">
        <v>405</v>
      </c>
      <c r="C214" s="25">
        <f>615524.33-6195.46+2586180.63-1561336.89</f>
        <v>1634172.61</v>
      </c>
      <c r="D214" s="25">
        <v>1634172.61</v>
      </c>
      <c r="E214" s="63">
        <f t="shared" si="41"/>
        <v>1</v>
      </c>
    </row>
    <row r="215" spans="1:8" ht="24.75" customHeight="1">
      <c r="A215" s="23"/>
      <c r="B215" s="54" t="s">
        <v>406</v>
      </c>
      <c r="C215" s="25">
        <f>13564583.9</f>
        <v>13564583.9</v>
      </c>
      <c r="D215" s="25">
        <f>13232716.59+331463.35</f>
        <v>13564179.939999999</v>
      </c>
      <c r="E215" s="63">
        <f t="shared" si="41"/>
        <v>0.99997021950669629</v>
      </c>
    </row>
    <row r="216" spans="1:8" ht="34.5" hidden="1" customHeight="1">
      <c r="A216" s="23"/>
      <c r="B216" s="55" t="s">
        <v>407</v>
      </c>
      <c r="C216" s="25"/>
      <c r="D216" s="25"/>
      <c r="E216" s="63" t="e">
        <f t="shared" si="41"/>
        <v>#DIV/0!</v>
      </c>
    </row>
    <row r="217" spans="1:8" ht="47.25" customHeight="1">
      <c r="A217" s="23"/>
      <c r="B217" s="55" t="s">
        <v>527</v>
      </c>
      <c r="C217" s="25">
        <v>101300</v>
      </c>
      <c r="D217" s="25">
        <v>101300</v>
      </c>
      <c r="E217" s="63">
        <f t="shared" si="41"/>
        <v>1</v>
      </c>
    </row>
    <row r="218" spans="1:8" ht="25.5" customHeight="1">
      <c r="A218" s="23"/>
      <c r="B218" s="55" t="s">
        <v>408</v>
      </c>
      <c r="C218" s="25">
        <f>398156.42-69480.56-12283.42</f>
        <v>316392.44</v>
      </c>
      <c r="D218" s="25">
        <v>316392.44</v>
      </c>
      <c r="E218" s="63">
        <f t="shared" si="41"/>
        <v>1</v>
      </c>
    </row>
    <row r="219" spans="1:8" ht="33.75">
      <c r="A219" s="23"/>
      <c r="B219" s="55" t="s">
        <v>409</v>
      </c>
      <c r="C219" s="25">
        <f>11805454.78-59027.27</f>
        <v>11746427.51</v>
      </c>
      <c r="D219" s="25">
        <v>0</v>
      </c>
      <c r="E219" s="63">
        <f t="shared" si="41"/>
        <v>0</v>
      </c>
      <c r="F219" s="25">
        <v>2926820.59</v>
      </c>
    </row>
    <row r="220" spans="1:8" ht="24" hidden="1" customHeight="1">
      <c r="A220" s="23"/>
      <c r="B220" s="55" t="s">
        <v>410</v>
      </c>
      <c r="C220" s="25">
        <v>0</v>
      </c>
      <c r="D220" s="25"/>
      <c r="E220" s="63" t="e">
        <f t="shared" si="41"/>
        <v>#DIV/0!</v>
      </c>
      <c r="F220" s="25">
        <v>16364800</v>
      </c>
    </row>
    <row r="221" spans="1:8" ht="12.75" customHeight="1">
      <c r="A221" s="26"/>
      <c r="B221" s="55" t="s">
        <v>411</v>
      </c>
      <c r="C221" s="25">
        <f>1400305.8+23115865.46+3323449.6-1706385.86-19314.46</f>
        <v>26113920.540000003</v>
      </c>
      <c r="D221" s="25">
        <v>25272889.989999998</v>
      </c>
      <c r="E221" s="63">
        <f t="shared" si="41"/>
        <v>0.96779378459424525</v>
      </c>
      <c r="F221" s="25">
        <v>1177458.44</v>
      </c>
    </row>
    <row r="222" spans="1:8" ht="56.25" hidden="1" customHeight="1">
      <c r="A222" s="26"/>
      <c r="B222" s="55" t="s">
        <v>412</v>
      </c>
      <c r="C222" s="25">
        <v>0</v>
      </c>
      <c r="D222" s="25"/>
      <c r="E222" s="63" t="e">
        <f t="shared" si="41"/>
        <v>#DIV/0!</v>
      </c>
      <c r="F222" s="25">
        <v>591196.31999999995</v>
      </c>
    </row>
    <row r="223" spans="1:8" ht="23.25" hidden="1" customHeight="1">
      <c r="A223" s="26"/>
      <c r="B223" s="55" t="s">
        <v>413</v>
      </c>
      <c r="C223" s="25">
        <v>0</v>
      </c>
      <c r="D223" s="25"/>
      <c r="E223" s="63" t="e">
        <f t="shared" si="41"/>
        <v>#DIV/0!</v>
      </c>
      <c r="F223" s="25">
        <v>8502446.7200000007</v>
      </c>
    </row>
    <row r="224" spans="1:8" ht="35.25" customHeight="1">
      <c r="A224" s="26"/>
      <c r="B224" s="55" t="s">
        <v>520</v>
      </c>
      <c r="C224" s="25">
        <f>8326162.8+6530545.09</f>
        <v>14856707.890000001</v>
      </c>
      <c r="D224" s="25">
        <v>14132799.68</v>
      </c>
      <c r="E224" s="63">
        <f t="shared" si="41"/>
        <v>0.95127398240849437</v>
      </c>
      <c r="F224" s="25">
        <v>1853000</v>
      </c>
    </row>
    <row r="225" spans="1:8" ht="32.25" customHeight="1">
      <c r="A225" s="26"/>
      <c r="B225" s="55" t="s">
        <v>414</v>
      </c>
      <c r="C225" s="25">
        <f>16277213.14-1898594.61+1025504.28</f>
        <v>15404122.810000001</v>
      </c>
      <c r="D225" s="25">
        <v>15230515.880000001</v>
      </c>
      <c r="E225" s="63">
        <f t="shared" si="41"/>
        <v>0.98872983991744745</v>
      </c>
      <c r="F225" s="25">
        <v>5924105.2199999997</v>
      </c>
    </row>
    <row r="226" spans="1:8" ht="21.75" hidden="1" customHeight="1">
      <c r="A226" s="26"/>
      <c r="B226" s="55" t="s">
        <v>415</v>
      </c>
      <c r="C226" s="25">
        <v>0</v>
      </c>
      <c r="D226" s="25"/>
      <c r="E226" s="63" t="e">
        <f t="shared" si="41"/>
        <v>#DIV/0!</v>
      </c>
      <c r="F226" s="25">
        <v>12560375.59</v>
      </c>
    </row>
    <row r="227" spans="1:8" ht="21.75" customHeight="1">
      <c r="A227" s="26"/>
      <c r="B227" s="55" t="s">
        <v>416</v>
      </c>
      <c r="C227" s="25">
        <v>775984.05</v>
      </c>
      <c r="D227" s="25">
        <v>775984.05</v>
      </c>
      <c r="E227" s="63">
        <f t="shared" si="41"/>
        <v>1</v>
      </c>
      <c r="F227" s="25"/>
    </row>
    <row r="228" spans="1:8" ht="21.75" hidden="1" customHeight="1">
      <c r="A228" s="26"/>
      <c r="B228" s="55" t="s">
        <v>417</v>
      </c>
      <c r="C228" s="25">
        <v>0</v>
      </c>
      <c r="D228" s="25"/>
      <c r="E228" s="63" t="e">
        <f t="shared" si="41"/>
        <v>#DIV/0!</v>
      </c>
      <c r="F228" s="25"/>
    </row>
    <row r="229" spans="1:8" ht="21.75" customHeight="1">
      <c r="A229" s="26"/>
      <c r="B229" s="55" t="s">
        <v>528</v>
      </c>
      <c r="C229" s="25">
        <f>1000000</f>
        <v>1000000</v>
      </c>
      <c r="D229" s="25">
        <v>1000000</v>
      </c>
      <c r="E229" s="63">
        <f t="shared" si="41"/>
        <v>1</v>
      </c>
      <c r="F229" s="25"/>
    </row>
    <row r="230" spans="1:8" ht="69" customHeight="1">
      <c r="A230" s="26"/>
      <c r="B230" s="55" t="s">
        <v>529</v>
      </c>
      <c r="C230" s="25">
        <f>528000</f>
        <v>528000</v>
      </c>
      <c r="D230" s="25">
        <v>527783.16</v>
      </c>
      <c r="E230" s="63">
        <f t="shared" si="41"/>
        <v>0.99958931818181829</v>
      </c>
      <c r="F230" s="25"/>
    </row>
    <row r="231" spans="1:8" ht="21.75" hidden="1" customHeight="1">
      <c r="A231" s="26"/>
      <c r="B231" s="55" t="s">
        <v>418</v>
      </c>
      <c r="C231" s="25">
        <f>5400628.44-5400628.44</f>
        <v>0</v>
      </c>
      <c r="D231" s="25">
        <v>0</v>
      </c>
      <c r="E231" s="64">
        <v>0</v>
      </c>
      <c r="F231" s="25"/>
    </row>
    <row r="232" spans="1:8" ht="21">
      <c r="A232" s="6" t="s">
        <v>419</v>
      </c>
      <c r="B232" s="16" t="s">
        <v>420</v>
      </c>
      <c r="C232" s="9">
        <f>C233+C252+C254</f>
        <v>1103520376.99</v>
      </c>
      <c r="D232" s="9">
        <f>D233+D252+D254</f>
        <v>1097364389.8</v>
      </c>
      <c r="E232" s="56">
        <f t="shared" ref="E232:E234" si="42">D232/C232</f>
        <v>0.99442150111736827</v>
      </c>
      <c r="F232" s="9">
        <v>38283967.289999999</v>
      </c>
      <c r="G232" s="9">
        <v>-10519590.369999999</v>
      </c>
      <c r="H232" s="9">
        <v>-10505407.029999999</v>
      </c>
    </row>
    <row r="233" spans="1:8" ht="23.25" customHeight="1">
      <c r="A233" s="10" t="s">
        <v>421</v>
      </c>
      <c r="B233" s="15" t="s">
        <v>422</v>
      </c>
      <c r="C233" s="12">
        <f>C234</f>
        <v>1100965080.27</v>
      </c>
      <c r="D233" s="12">
        <f>D234</f>
        <v>1094941668.3</v>
      </c>
      <c r="E233" s="57">
        <f t="shared" si="42"/>
        <v>0.99452897092020132</v>
      </c>
      <c r="F233" s="12">
        <v>38283967.289999999</v>
      </c>
      <c r="G233" s="12">
        <v>-10519590.369999999</v>
      </c>
      <c r="H233" s="12">
        <v>-10505407.029999999</v>
      </c>
    </row>
    <row r="234" spans="1:8" ht="24" customHeight="1">
      <c r="A234" s="10" t="s">
        <v>423</v>
      </c>
      <c r="B234" s="15" t="s">
        <v>424</v>
      </c>
      <c r="C234" s="12">
        <f>SUM(C236:C251)</f>
        <v>1100965080.27</v>
      </c>
      <c r="D234" s="12">
        <f t="shared" ref="D234" si="43">SUM(D236:D251)</f>
        <v>1094941668.3</v>
      </c>
      <c r="E234" s="57">
        <f t="shared" si="42"/>
        <v>0.99452897092020132</v>
      </c>
      <c r="F234" s="12">
        <f>SUM(F238:F251)</f>
        <v>38283967.289999999</v>
      </c>
      <c r="G234" s="12">
        <f>G249+G243</f>
        <v>-10519590.369999999</v>
      </c>
      <c r="H234" s="12">
        <f>H249+H243</f>
        <v>-10505407.029999999</v>
      </c>
    </row>
    <row r="235" spans="1:8" ht="9.75" customHeight="1">
      <c r="A235" s="22"/>
      <c r="B235" s="11" t="s">
        <v>403</v>
      </c>
      <c r="C235" s="12"/>
      <c r="D235" s="12"/>
      <c r="E235" s="62"/>
    </row>
    <row r="236" spans="1:8" ht="122.25" customHeight="1">
      <c r="A236" s="22"/>
      <c r="B236" s="24" t="s">
        <v>521</v>
      </c>
      <c r="C236" s="25">
        <f>1629812.64</f>
        <v>1629812.64</v>
      </c>
      <c r="D236" s="25">
        <v>1541408.78</v>
      </c>
      <c r="E236" s="63">
        <f t="shared" ref="E236:E249" si="44">D236/C236</f>
        <v>0.94575826826327725</v>
      </c>
    </row>
    <row r="237" spans="1:8" ht="25.5" customHeight="1">
      <c r="A237" s="22"/>
      <c r="B237" s="24" t="s">
        <v>425</v>
      </c>
      <c r="C237" s="25">
        <f>923403.4+232004.34</f>
        <v>1155407.74</v>
      </c>
      <c r="D237" s="25">
        <v>1093701.21</v>
      </c>
      <c r="E237" s="63">
        <f t="shared" si="44"/>
        <v>0.94659328662624331</v>
      </c>
    </row>
    <row r="238" spans="1:8" ht="53.25" customHeight="1">
      <c r="A238" s="23"/>
      <c r="B238" s="24" t="s">
        <v>426</v>
      </c>
      <c r="C238" s="25">
        <f>761605.77+71745.41</f>
        <v>833351.18</v>
      </c>
      <c r="D238" s="25">
        <v>833051.18</v>
      </c>
      <c r="E238" s="63">
        <f t="shared" si="44"/>
        <v>0.99964000770959494</v>
      </c>
    </row>
    <row r="239" spans="1:8" ht="64.5" customHeight="1">
      <c r="A239" s="23"/>
      <c r="B239" s="24" t="s">
        <v>427</v>
      </c>
      <c r="C239" s="25">
        <f>1642585.43+119133</f>
        <v>1761718.43</v>
      </c>
      <c r="D239" s="25">
        <v>1875218.43</v>
      </c>
      <c r="E239" s="63">
        <f t="shared" si="44"/>
        <v>1.064425732323184</v>
      </c>
    </row>
    <row r="240" spans="1:8" ht="97.5" customHeight="1">
      <c r="A240" s="27"/>
      <c r="B240" s="24" t="s">
        <v>428</v>
      </c>
      <c r="C240" s="25">
        <f>5560952.91+3166346.25</f>
        <v>8727299.1600000001</v>
      </c>
      <c r="D240" s="25">
        <v>6140170.0800000001</v>
      </c>
      <c r="E240" s="63">
        <f t="shared" si="44"/>
        <v>0.70355902409560578</v>
      </c>
    </row>
    <row r="241" spans="1:8" ht="43.5" customHeight="1">
      <c r="A241" s="23"/>
      <c r="B241" s="24" t="s">
        <v>429</v>
      </c>
      <c r="C241" s="25">
        <f>20614228.9+2510910+105000</f>
        <v>23230138.899999999</v>
      </c>
      <c r="D241" s="25">
        <f>6790796.07+13003579.23+2721674.61</f>
        <v>22516049.91</v>
      </c>
      <c r="E241" s="63">
        <f t="shared" si="44"/>
        <v>0.96926023589122845</v>
      </c>
    </row>
    <row r="242" spans="1:8" ht="78.75" customHeight="1">
      <c r="A242" s="23"/>
      <c r="B242" s="24" t="s">
        <v>430</v>
      </c>
      <c r="C242" s="25">
        <f>557599.46-102722.53</f>
        <v>454876.92999999993</v>
      </c>
      <c r="D242" s="25">
        <v>454876.93</v>
      </c>
      <c r="E242" s="63">
        <f t="shared" si="44"/>
        <v>1.0000000000000002</v>
      </c>
    </row>
    <row r="243" spans="1:8" ht="67.5" hidden="1" customHeight="1">
      <c r="A243" s="23"/>
      <c r="B243" s="24" t="s">
        <v>431</v>
      </c>
      <c r="C243" s="25">
        <f>36915-36915</f>
        <v>0</v>
      </c>
      <c r="D243" s="25"/>
      <c r="E243" s="63" t="e">
        <f t="shared" si="44"/>
        <v>#DIV/0!</v>
      </c>
      <c r="F243" s="25">
        <v>-36915</v>
      </c>
      <c r="G243" s="25">
        <v>-36915</v>
      </c>
      <c r="H243" s="25">
        <v>-36915</v>
      </c>
    </row>
    <row r="244" spans="1:8" ht="68.25" customHeight="1">
      <c r="A244" s="28"/>
      <c r="B244" s="24" t="s">
        <v>432</v>
      </c>
      <c r="C244" s="25">
        <v>1136366</v>
      </c>
      <c r="D244" s="25">
        <v>485094</v>
      </c>
      <c r="E244" s="63">
        <f t="shared" si="44"/>
        <v>0.42688183208578928</v>
      </c>
    </row>
    <row r="245" spans="1:8" ht="76.5" customHeight="1">
      <c r="A245" s="23"/>
      <c r="B245" s="24" t="s">
        <v>433</v>
      </c>
      <c r="C245" s="25">
        <f>236082.5+261578.54-325806.88</f>
        <v>171854.16000000003</v>
      </c>
      <c r="D245" s="25">
        <v>171854.16</v>
      </c>
      <c r="E245" s="63">
        <f t="shared" si="44"/>
        <v>0.99999999999999978</v>
      </c>
    </row>
    <row r="246" spans="1:8" ht="36" customHeight="1">
      <c r="A246" s="23"/>
      <c r="B246" s="24" t="s">
        <v>434</v>
      </c>
      <c r="C246" s="25">
        <v>44966.1</v>
      </c>
      <c r="D246" s="25">
        <v>38281.949999999997</v>
      </c>
      <c r="E246" s="63">
        <f t="shared" si="44"/>
        <v>0.85135135135135132</v>
      </c>
    </row>
    <row r="247" spans="1:8" ht="32.25" customHeight="1">
      <c r="A247" s="23"/>
      <c r="B247" s="24" t="s">
        <v>435</v>
      </c>
      <c r="C247" s="25">
        <f>13672.8-987.48</f>
        <v>12685.32</v>
      </c>
      <c r="D247" s="25">
        <v>12685.32</v>
      </c>
      <c r="E247" s="63">
        <f t="shared" si="44"/>
        <v>1</v>
      </c>
    </row>
    <row r="248" spans="1:8" ht="42.75" customHeight="1">
      <c r="A248" s="23"/>
      <c r="B248" s="24" t="s">
        <v>436</v>
      </c>
      <c r="C248" s="25">
        <f>94910.32-3967.7-37324.66</f>
        <v>53617.960000000006</v>
      </c>
      <c r="D248" s="25">
        <v>53617.96</v>
      </c>
      <c r="E248" s="63">
        <f t="shared" si="44"/>
        <v>0.99999999999999989</v>
      </c>
    </row>
    <row r="249" spans="1:8" ht="22.5">
      <c r="A249" s="23"/>
      <c r="B249" s="24" t="s">
        <v>437</v>
      </c>
      <c r="C249" s="25">
        <f>904053328.88+56385389.33+21866733.43-7517082+51197183.04+40483251.15-4715818.08</f>
        <v>1061752985.7499999</v>
      </c>
      <c r="D249" s="25">
        <f>458023824.84+587870611.95+13831221.6</f>
        <v>1059725658.39</v>
      </c>
      <c r="E249" s="63">
        <f t="shared" si="44"/>
        <v>0.99809058473372902</v>
      </c>
      <c r="F249" s="25">
        <v>37795627.890000001</v>
      </c>
      <c r="G249" s="25">
        <v>-10482675.369999999</v>
      </c>
      <c r="H249" s="25">
        <v>-10468492.029999999</v>
      </c>
    </row>
    <row r="250" spans="1:8" ht="88.5" hidden="1" customHeight="1">
      <c r="A250" s="23"/>
      <c r="B250" s="24" t="s">
        <v>438</v>
      </c>
      <c r="C250" s="25">
        <v>0</v>
      </c>
      <c r="D250" s="25">
        <v>0</v>
      </c>
      <c r="E250" s="64">
        <v>0</v>
      </c>
      <c r="F250" s="25">
        <v>242930.16</v>
      </c>
    </row>
    <row r="251" spans="1:8" ht="64.5" hidden="1" customHeight="1">
      <c r="A251" s="23"/>
      <c r="B251" s="24" t="s">
        <v>439</v>
      </c>
      <c r="C251" s="25">
        <v>0</v>
      </c>
      <c r="D251" s="25">
        <v>0</v>
      </c>
      <c r="E251" s="64">
        <v>0</v>
      </c>
      <c r="F251" s="25">
        <v>282324.24</v>
      </c>
    </row>
    <row r="252" spans="1:8" ht="56.25">
      <c r="A252" s="10" t="s">
        <v>440</v>
      </c>
      <c r="B252" s="15" t="s">
        <v>441</v>
      </c>
      <c r="C252" s="12">
        <f>C253</f>
        <v>2532866</v>
      </c>
      <c r="D252" s="12">
        <f>D253</f>
        <v>2413675.5</v>
      </c>
      <c r="E252" s="57">
        <f t="shared" ref="E252:E280" si="45">D252/C252</f>
        <v>0.95294243753913555</v>
      </c>
    </row>
    <row r="253" spans="1:8" ht="54" customHeight="1">
      <c r="A253" s="10" t="s">
        <v>442</v>
      </c>
      <c r="B253" s="15" t="s">
        <v>443</v>
      </c>
      <c r="C253" s="13">
        <f>3359818.68-826952.68</f>
        <v>2532866</v>
      </c>
      <c r="D253" s="13">
        <v>2413675.5</v>
      </c>
      <c r="E253" s="58">
        <f t="shared" si="45"/>
        <v>0.95294243753913555</v>
      </c>
    </row>
    <row r="254" spans="1:8" ht="45">
      <c r="A254" s="10" t="s">
        <v>444</v>
      </c>
      <c r="B254" s="15" t="s">
        <v>445</v>
      </c>
      <c r="C254" s="12">
        <f>C255</f>
        <v>22430.720000000001</v>
      </c>
      <c r="D254" s="12">
        <f>D255</f>
        <v>9046</v>
      </c>
      <c r="E254" s="57">
        <f t="shared" si="45"/>
        <v>0.4032862074868751</v>
      </c>
    </row>
    <row r="255" spans="1:8" ht="42.75" customHeight="1">
      <c r="A255" s="10" t="s">
        <v>446</v>
      </c>
      <c r="B255" s="15" t="s">
        <v>447</v>
      </c>
      <c r="C255" s="13">
        <v>22430.720000000001</v>
      </c>
      <c r="D255" s="13">
        <v>9046</v>
      </c>
      <c r="E255" s="58">
        <f t="shared" si="45"/>
        <v>0.4032862074868751</v>
      </c>
    </row>
    <row r="256" spans="1:8">
      <c r="A256" s="29" t="s">
        <v>448</v>
      </c>
      <c r="B256" s="8" t="s">
        <v>449</v>
      </c>
      <c r="C256" s="9">
        <f>C261+C263+C265+C267+C259+C257</f>
        <v>179002461.94999999</v>
      </c>
      <c r="D256" s="9">
        <f t="shared" ref="D256" si="46">D261+D263+D265+D267+D259+D257</f>
        <v>166083983.79999998</v>
      </c>
      <c r="E256" s="56">
        <f t="shared" si="45"/>
        <v>0.92783072361536312</v>
      </c>
      <c r="F256" s="9">
        <v>-19404260.399999999</v>
      </c>
      <c r="G256" s="9">
        <v>4718439.0199999996</v>
      </c>
      <c r="H256" s="9">
        <v>4718439.0199999996</v>
      </c>
    </row>
    <row r="257" spans="1:9" ht="90" customHeight="1">
      <c r="A257" s="30" t="s">
        <v>535</v>
      </c>
      <c r="B257" s="15" t="s">
        <v>537</v>
      </c>
      <c r="C257" s="12">
        <f>C258</f>
        <v>416600</v>
      </c>
      <c r="D257" s="12">
        <f t="shared" ref="D257" si="47">D258</f>
        <v>350000.75</v>
      </c>
      <c r="E257" s="57">
        <f t="shared" si="45"/>
        <v>0.8401362217954873</v>
      </c>
      <c r="F257" s="31"/>
      <c r="G257" s="31"/>
      <c r="H257" s="31"/>
    </row>
    <row r="258" spans="1:9" ht="92.25" customHeight="1">
      <c r="A258" s="30" t="s">
        <v>536</v>
      </c>
      <c r="B258" s="15" t="s">
        <v>537</v>
      </c>
      <c r="C258" s="13">
        <v>416600</v>
      </c>
      <c r="D258" s="13">
        <v>350000.75</v>
      </c>
      <c r="E258" s="58">
        <f t="shared" si="45"/>
        <v>0.8401362217954873</v>
      </c>
      <c r="F258" s="31"/>
      <c r="G258" s="31"/>
      <c r="H258" s="31"/>
    </row>
    <row r="259" spans="1:9" ht="56.25">
      <c r="A259" s="30" t="s">
        <v>450</v>
      </c>
      <c r="B259" s="15" t="s">
        <v>451</v>
      </c>
      <c r="C259" s="12">
        <f>C260</f>
        <v>4719292.6899999995</v>
      </c>
      <c r="D259" s="12">
        <f>D260</f>
        <v>4719291.6900000004</v>
      </c>
      <c r="E259" s="57">
        <f t="shared" si="45"/>
        <v>0.99999978810383994</v>
      </c>
      <c r="F259" s="31"/>
    </row>
    <row r="260" spans="1:9" ht="54.75" customHeight="1">
      <c r="A260" s="30" t="s">
        <v>452</v>
      </c>
      <c r="B260" s="15" t="s">
        <v>453</v>
      </c>
      <c r="C260" s="13">
        <f>4718439.02+853.67</f>
        <v>4719292.6899999995</v>
      </c>
      <c r="D260" s="13">
        <v>4719291.6900000004</v>
      </c>
      <c r="E260" s="58">
        <f t="shared" si="45"/>
        <v>0.99999978810383994</v>
      </c>
      <c r="F260" s="13">
        <v>598313.92000000004</v>
      </c>
      <c r="G260" s="13">
        <v>4718439.0199999996</v>
      </c>
      <c r="H260" s="13">
        <v>4718439.0199999996</v>
      </c>
    </row>
    <row r="261" spans="1:9" ht="81.75" customHeight="1">
      <c r="A261" s="49" t="s">
        <v>454</v>
      </c>
      <c r="B261" s="32" t="s">
        <v>455</v>
      </c>
      <c r="C261" s="12">
        <f>C262</f>
        <v>38362800</v>
      </c>
      <c r="D261" s="12">
        <f>D262</f>
        <v>38964954.310000002</v>
      </c>
      <c r="E261" s="57">
        <f t="shared" si="45"/>
        <v>1.0156963076209244</v>
      </c>
    </row>
    <row r="262" spans="1:9" ht="90" customHeight="1">
      <c r="A262" s="49" t="s">
        <v>456</v>
      </c>
      <c r="B262" s="32" t="s">
        <v>457</v>
      </c>
      <c r="C262" s="13">
        <f>23064800+15298000</f>
        <v>38362800</v>
      </c>
      <c r="D262" s="13">
        <v>38964954.310000002</v>
      </c>
      <c r="E262" s="58">
        <f t="shared" si="45"/>
        <v>1.0156963076209244</v>
      </c>
    </row>
    <row r="263" spans="1:9" ht="22.5">
      <c r="A263" s="30" t="s">
        <v>458</v>
      </c>
      <c r="B263" s="32" t="s">
        <v>459</v>
      </c>
      <c r="C263" s="12">
        <f>C264</f>
        <v>44491885.850000001</v>
      </c>
      <c r="D263" s="12">
        <f>D264</f>
        <v>44491885.850000001</v>
      </c>
      <c r="E263" s="57">
        <f t="shared" si="45"/>
        <v>1</v>
      </c>
      <c r="I263" s="33"/>
    </row>
    <row r="264" spans="1:9" ht="35.25" customHeight="1">
      <c r="A264" s="30" t="s">
        <v>460</v>
      </c>
      <c r="B264" s="32" t="s">
        <v>461</v>
      </c>
      <c r="C264" s="13">
        <v>44491885.850000001</v>
      </c>
      <c r="D264" s="13">
        <v>44491885.850000001</v>
      </c>
      <c r="E264" s="58">
        <f t="shared" si="45"/>
        <v>1</v>
      </c>
      <c r="F264" s="34">
        <v>-21043024.379999999</v>
      </c>
    </row>
    <row r="265" spans="1:9" ht="27" customHeight="1">
      <c r="A265" s="30" t="s">
        <v>516</v>
      </c>
      <c r="B265" s="15" t="s">
        <v>517</v>
      </c>
      <c r="C265" s="12">
        <f>C266</f>
        <v>104166.66</v>
      </c>
      <c r="D265" s="12">
        <f>D266</f>
        <v>104166.66</v>
      </c>
      <c r="E265" s="57">
        <f t="shared" si="45"/>
        <v>1</v>
      </c>
    </row>
    <row r="266" spans="1:9" ht="27" customHeight="1">
      <c r="A266" s="30" t="s">
        <v>518</v>
      </c>
      <c r="B266" s="15" t="s">
        <v>519</v>
      </c>
      <c r="C266" s="13">
        <v>104166.66</v>
      </c>
      <c r="D266" s="13">
        <v>104166.66</v>
      </c>
      <c r="E266" s="58">
        <f t="shared" si="45"/>
        <v>1</v>
      </c>
    </row>
    <row r="267" spans="1:9" ht="16.5" customHeight="1">
      <c r="A267" s="10" t="s">
        <v>462</v>
      </c>
      <c r="B267" s="15" t="s">
        <v>463</v>
      </c>
      <c r="C267" s="12">
        <f>C268</f>
        <v>90907716.75</v>
      </c>
      <c r="D267" s="12">
        <f>D268</f>
        <v>77453684.539999992</v>
      </c>
      <c r="E267" s="57">
        <f t="shared" si="45"/>
        <v>0.85200340861052359</v>
      </c>
    </row>
    <row r="268" spans="1:9" ht="22.5">
      <c r="A268" s="10" t="s">
        <v>464</v>
      </c>
      <c r="B268" s="15" t="s">
        <v>465</v>
      </c>
      <c r="C268" s="12">
        <f>SUM(C270:C287)</f>
        <v>90907716.75</v>
      </c>
      <c r="D268" s="12">
        <f>SUM(D270:D287)</f>
        <v>77453684.539999992</v>
      </c>
      <c r="E268" s="57">
        <f t="shared" si="45"/>
        <v>0.85200340861052359</v>
      </c>
    </row>
    <row r="269" spans="1:9" ht="9.75" customHeight="1">
      <c r="A269" s="35"/>
      <c r="B269" s="15" t="s">
        <v>403</v>
      </c>
      <c r="C269" s="12"/>
      <c r="D269" s="12"/>
      <c r="E269" s="62"/>
    </row>
    <row r="270" spans="1:9" ht="45">
      <c r="A270" s="36"/>
      <c r="B270" s="24" t="s">
        <v>522</v>
      </c>
      <c r="C270" s="25">
        <f>5000000</f>
        <v>5000000</v>
      </c>
      <c r="D270" s="25">
        <v>4500000</v>
      </c>
      <c r="E270" s="63">
        <f t="shared" si="45"/>
        <v>0.9</v>
      </c>
    </row>
    <row r="271" spans="1:9" ht="35.25" customHeight="1">
      <c r="A271" s="36"/>
      <c r="B271" s="24" t="s">
        <v>466</v>
      </c>
      <c r="C271" s="25">
        <v>3164601.6</v>
      </c>
      <c r="D271" s="25">
        <v>3163439.3</v>
      </c>
      <c r="E271" s="63">
        <f t="shared" si="45"/>
        <v>0.99963271838072754</v>
      </c>
      <c r="F271" s="25">
        <v>30450.06</v>
      </c>
    </row>
    <row r="272" spans="1:9" ht="45.75" customHeight="1">
      <c r="A272" s="36"/>
      <c r="B272" s="24" t="s">
        <v>467</v>
      </c>
      <c r="C272" s="25">
        <v>104166.67</v>
      </c>
      <c r="D272" s="25">
        <v>104166.67</v>
      </c>
      <c r="E272" s="63">
        <f t="shared" si="45"/>
        <v>1</v>
      </c>
    </row>
    <row r="273" spans="1:6" ht="26.25" customHeight="1">
      <c r="A273" s="36"/>
      <c r="B273" s="24" t="s">
        <v>523</v>
      </c>
      <c r="C273" s="25">
        <f>4610000</f>
        <v>4610000</v>
      </c>
      <c r="D273" s="25">
        <v>4564300</v>
      </c>
      <c r="E273" s="63">
        <f t="shared" si="45"/>
        <v>0.99008676789587857</v>
      </c>
    </row>
    <row r="274" spans="1:6" ht="52.5" customHeight="1">
      <c r="A274" s="36"/>
      <c r="B274" s="24" t="s">
        <v>524</v>
      </c>
      <c r="C274" s="25">
        <f>4500000</f>
        <v>4500000</v>
      </c>
      <c r="D274" s="25">
        <v>4500000</v>
      </c>
      <c r="E274" s="63">
        <f t="shared" si="45"/>
        <v>1</v>
      </c>
    </row>
    <row r="275" spans="1:6" ht="67.5" customHeight="1">
      <c r="A275" s="36"/>
      <c r="B275" s="24" t="s">
        <v>525</v>
      </c>
      <c r="C275" s="25">
        <v>3721284</v>
      </c>
      <c r="D275" s="25">
        <v>3721284</v>
      </c>
      <c r="E275" s="63">
        <f t="shared" si="45"/>
        <v>1</v>
      </c>
    </row>
    <row r="276" spans="1:6" ht="21" customHeight="1">
      <c r="A276" s="36"/>
      <c r="B276" s="24" t="s">
        <v>530</v>
      </c>
      <c r="C276" s="25">
        <f>43700000+15000000</f>
        <v>58700000</v>
      </c>
      <c r="D276" s="25">
        <f>14146601+31646355.82</f>
        <v>45792956.82</v>
      </c>
      <c r="E276" s="63">
        <f t="shared" si="45"/>
        <v>0.78011851482112438</v>
      </c>
    </row>
    <row r="277" spans="1:6" ht="22.5" customHeight="1">
      <c r="A277" s="36"/>
      <c r="B277" s="24" t="s">
        <v>531</v>
      </c>
      <c r="C277" s="25">
        <f>1106000</f>
        <v>1106000</v>
      </c>
      <c r="D277" s="25">
        <v>1106000</v>
      </c>
      <c r="E277" s="63">
        <f t="shared" si="45"/>
        <v>1</v>
      </c>
    </row>
    <row r="278" spans="1:6" ht="56.25" customHeight="1">
      <c r="A278" s="36"/>
      <c r="B278" s="24" t="s">
        <v>532</v>
      </c>
      <c r="C278" s="25">
        <f>8255627-455627</f>
        <v>7800000</v>
      </c>
      <c r="D278" s="25">
        <v>7800000</v>
      </c>
      <c r="E278" s="63">
        <f t="shared" si="45"/>
        <v>1</v>
      </c>
    </row>
    <row r="279" spans="1:6" ht="64.5" customHeight="1">
      <c r="A279" s="36"/>
      <c r="B279" s="24" t="s">
        <v>533</v>
      </c>
      <c r="C279" s="25">
        <f>161305.14</f>
        <v>161305.14000000001</v>
      </c>
      <c r="D279" s="25">
        <v>161178.41</v>
      </c>
      <c r="E279" s="63">
        <f t="shared" si="45"/>
        <v>0.99921434617644544</v>
      </c>
    </row>
    <row r="280" spans="1:6" ht="79.5" customHeight="1">
      <c r="A280" s="36"/>
      <c r="B280" s="24" t="s">
        <v>534</v>
      </c>
      <c r="C280" s="25">
        <f>2040359.34</f>
        <v>2040359.34</v>
      </c>
      <c r="D280" s="25">
        <v>2040359.34</v>
      </c>
      <c r="E280" s="63">
        <f t="shared" si="45"/>
        <v>1</v>
      </c>
    </row>
    <row r="281" spans="1:6" ht="33" hidden="1" customHeight="1">
      <c r="A281" s="36"/>
      <c r="B281" s="24" t="s">
        <v>469</v>
      </c>
      <c r="C281" s="25">
        <f>520000-520000</f>
        <v>0</v>
      </c>
      <c r="D281" s="25">
        <v>0</v>
      </c>
      <c r="E281" s="64">
        <v>0</v>
      </c>
      <c r="F281" s="25">
        <v>-520000</v>
      </c>
    </row>
    <row r="282" spans="1:6" ht="45.75" hidden="1" customHeight="1">
      <c r="A282" s="10"/>
      <c r="B282" s="24" t="s">
        <v>468</v>
      </c>
      <c r="C282" s="25">
        <v>0</v>
      </c>
      <c r="D282" s="25">
        <v>0</v>
      </c>
      <c r="E282" s="64">
        <v>0</v>
      </c>
      <c r="F282" s="25">
        <v>1530000</v>
      </c>
    </row>
    <row r="283" spans="1:6" ht="43.5" hidden="1" customHeight="1">
      <c r="A283" s="36"/>
      <c r="B283" s="24" t="s">
        <v>470</v>
      </c>
      <c r="C283" s="25"/>
      <c r="D283" s="25"/>
      <c r="E283" s="64"/>
      <c r="F283" s="37"/>
    </row>
    <row r="284" spans="1:6" ht="18" hidden="1" customHeight="1">
      <c r="A284" s="36"/>
      <c r="B284" s="24" t="s">
        <v>471</v>
      </c>
      <c r="C284" s="25">
        <v>0</v>
      </c>
      <c r="D284" s="25">
        <v>0</v>
      </c>
      <c r="E284" s="64">
        <v>0</v>
      </c>
      <c r="F284" s="37"/>
    </row>
    <row r="285" spans="1:6" ht="64.5" hidden="1" customHeight="1">
      <c r="A285" s="36"/>
      <c r="B285" s="24" t="s">
        <v>472</v>
      </c>
      <c r="C285" s="25">
        <v>0</v>
      </c>
      <c r="D285" s="25">
        <v>0</v>
      </c>
      <c r="E285" s="64">
        <v>0</v>
      </c>
      <c r="F285" s="25">
        <v>4300000</v>
      </c>
    </row>
    <row r="286" spans="1:6" ht="24.75" hidden="1" customHeight="1">
      <c r="A286" s="36"/>
      <c r="B286" s="24" t="s">
        <v>473</v>
      </c>
      <c r="C286" s="25">
        <v>0</v>
      </c>
      <c r="D286" s="25">
        <v>0</v>
      </c>
      <c r="E286" s="64">
        <v>0</v>
      </c>
      <c r="F286" s="25"/>
    </row>
    <row r="287" spans="1:6" ht="34.5" hidden="1" customHeight="1">
      <c r="A287" s="36"/>
      <c r="B287" s="24" t="s">
        <v>474</v>
      </c>
      <c r="C287" s="25">
        <v>0</v>
      </c>
      <c r="D287" s="25">
        <v>0</v>
      </c>
      <c r="E287" s="64">
        <v>0</v>
      </c>
      <c r="F287" s="25"/>
    </row>
    <row r="288" spans="1:6" ht="31.5" customHeight="1">
      <c r="A288" s="6" t="s">
        <v>475</v>
      </c>
      <c r="B288" s="16" t="s">
        <v>476</v>
      </c>
      <c r="C288" s="9">
        <f t="shared" ref="C288:D289" si="48">C289</f>
        <v>602966.92000000004</v>
      </c>
      <c r="D288" s="9">
        <f t="shared" si="48"/>
        <v>602966.92000000004</v>
      </c>
      <c r="E288" s="56">
        <f t="shared" ref="E288:E290" si="49">D288/C288</f>
        <v>1</v>
      </c>
      <c r="F288" s="9">
        <v>119980.28</v>
      </c>
    </row>
    <row r="289" spans="1:6" ht="23.25" customHeight="1">
      <c r="A289" s="10" t="s">
        <v>477</v>
      </c>
      <c r="B289" s="15" t="s">
        <v>478</v>
      </c>
      <c r="C289" s="12">
        <f t="shared" si="48"/>
        <v>602966.92000000004</v>
      </c>
      <c r="D289" s="12">
        <f t="shared" si="48"/>
        <v>602966.92000000004</v>
      </c>
      <c r="E289" s="57">
        <f t="shared" si="49"/>
        <v>1</v>
      </c>
      <c r="F289" s="37"/>
    </row>
    <row r="290" spans="1:6" ht="38.25" customHeight="1">
      <c r="A290" s="10" t="s">
        <v>479</v>
      </c>
      <c r="B290" s="15" t="s">
        <v>480</v>
      </c>
      <c r="C290" s="12">
        <f>SUM(C292:C293)</f>
        <v>602966.92000000004</v>
      </c>
      <c r="D290" s="12">
        <f>SUM(D292:D293)</f>
        <v>602966.92000000004</v>
      </c>
      <c r="E290" s="57">
        <f t="shared" si="49"/>
        <v>1</v>
      </c>
      <c r="F290" s="37"/>
    </row>
    <row r="291" spans="1:6" ht="11.25" customHeight="1">
      <c r="A291" s="6"/>
      <c r="B291" s="15" t="s">
        <v>481</v>
      </c>
      <c r="C291" s="12"/>
      <c r="D291" s="12"/>
      <c r="E291" s="62"/>
      <c r="F291" s="37"/>
    </row>
    <row r="292" spans="1:6" ht="12.75" customHeight="1">
      <c r="A292" s="6"/>
      <c r="B292" s="24" t="s">
        <v>482</v>
      </c>
      <c r="C292" s="25">
        <f>459084.5</f>
        <v>459084.5</v>
      </c>
      <c r="D292" s="25">
        <f>459084.5</f>
        <v>459084.5</v>
      </c>
      <c r="E292" s="63">
        <f t="shared" ref="E292:E296" si="50">D292/C292</f>
        <v>1</v>
      </c>
      <c r="F292" s="25">
        <v>119980.28</v>
      </c>
    </row>
    <row r="293" spans="1:6" ht="22.5" customHeight="1">
      <c r="A293" s="6"/>
      <c r="B293" s="24" t="s">
        <v>483</v>
      </c>
      <c r="C293" s="25">
        <f>17708.34+126174.08</f>
        <v>143882.42000000001</v>
      </c>
      <c r="D293" s="25">
        <f>17708.34+126174.08</f>
        <v>143882.42000000001</v>
      </c>
      <c r="E293" s="63">
        <f t="shared" si="50"/>
        <v>1</v>
      </c>
      <c r="F293" s="25"/>
    </row>
    <row r="294" spans="1:6" ht="21" customHeight="1">
      <c r="A294" s="6" t="s">
        <v>484</v>
      </c>
      <c r="B294" s="16" t="s">
        <v>485</v>
      </c>
      <c r="C294" s="9">
        <f t="shared" ref="C294:D295" si="51">C295</f>
        <v>102176.92</v>
      </c>
      <c r="D294" s="9">
        <f t="shared" si="51"/>
        <v>102176.92</v>
      </c>
      <c r="E294" s="56">
        <f t="shared" si="50"/>
        <v>1</v>
      </c>
      <c r="F294" s="9">
        <v>44000</v>
      </c>
    </row>
    <row r="295" spans="1:6" ht="22.5" customHeight="1">
      <c r="A295" s="10" t="s">
        <v>486</v>
      </c>
      <c r="B295" s="15" t="s">
        <v>487</v>
      </c>
      <c r="C295" s="12">
        <f t="shared" si="51"/>
        <v>102176.92</v>
      </c>
      <c r="D295" s="12">
        <f t="shared" si="51"/>
        <v>102176.92</v>
      </c>
      <c r="E295" s="57">
        <f t="shared" si="50"/>
        <v>1</v>
      </c>
      <c r="F295" s="37"/>
    </row>
    <row r="296" spans="1:6" ht="33.75" customHeight="1">
      <c r="A296" s="10" t="s">
        <v>488</v>
      </c>
      <c r="B296" s="15" t="s">
        <v>489</v>
      </c>
      <c r="C296" s="12">
        <f>C298+C299</f>
        <v>102176.92</v>
      </c>
      <c r="D296" s="12">
        <f>D298+D299</f>
        <v>102176.92</v>
      </c>
      <c r="E296" s="57">
        <f t="shared" si="50"/>
        <v>1</v>
      </c>
      <c r="F296" s="37"/>
    </row>
    <row r="297" spans="1:6" ht="9.75" customHeight="1">
      <c r="A297" s="10"/>
      <c r="B297" s="15" t="s">
        <v>481</v>
      </c>
      <c r="C297" s="12"/>
      <c r="D297" s="12"/>
      <c r="E297" s="62"/>
      <c r="F297" s="38"/>
    </row>
    <row r="298" spans="1:6" ht="12.75" hidden="1" customHeight="1">
      <c r="A298" s="10"/>
      <c r="B298" s="24" t="s">
        <v>482</v>
      </c>
      <c r="C298" s="25">
        <v>0</v>
      </c>
      <c r="D298" s="25">
        <v>0</v>
      </c>
      <c r="E298" s="64">
        <v>0</v>
      </c>
      <c r="F298" s="25">
        <v>44000</v>
      </c>
    </row>
    <row r="299" spans="1:6" ht="24" customHeight="1">
      <c r="A299" s="10"/>
      <c r="B299" s="24" t="s">
        <v>483</v>
      </c>
      <c r="C299" s="25">
        <f>41926.42+60250.5</f>
        <v>102176.92</v>
      </c>
      <c r="D299" s="25">
        <f>17694.78+84482.14</f>
        <v>102176.92</v>
      </c>
      <c r="E299" s="63">
        <f t="shared" ref="E299" si="52">D299/C299</f>
        <v>1</v>
      </c>
      <c r="F299" s="39"/>
    </row>
    <row r="300" spans="1:6" ht="42.75" hidden="1" customHeight="1">
      <c r="A300" s="10"/>
      <c r="B300" s="24"/>
      <c r="C300" s="25"/>
      <c r="D300" s="25"/>
      <c r="E300" s="64"/>
      <c r="F300" s="40"/>
    </row>
    <row r="301" spans="1:6">
      <c r="A301" s="6" t="s">
        <v>490</v>
      </c>
      <c r="B301" s="16" t="s">
        <v>491</v>
      </c>
      <c r="C301" s="9">
        <f t="shared" ref="C301:D302" si="53">C302</f>
        <v>4302987.87</v>
      </c>
      <c r="D301" s="9">
        <f t="shared" si="53"/>
        <v>4302987.87</v>
      </c>
      <c r="E301" s="56">
        <f t="shared" ref="E301:E303" si="54">D301/C301</f>
        <v>1</v>
      </c>
      <c r="F301" s="9">
        <f>69113.64+624660.63</f>
        <v>693774.27</v>
      </c>
    </row>
    <row r="302" spans="1:6" ht="22.5">
      <c r="A302" s="10" t="s">
        <v>492</v>
      </c>
      <c r="B302" s="15" t="s">
        <v>493</v>
      </c>
      <c r="C302" s="12">
        <f t="shared" si="53"/>
        <v>4302987.87</v>
      </c>
      <c r="D302" s="12">
        <f t="shared" si="53"/>
        <v>4302987.87</v>
      </c>
      <c r="E302" s="57">
        <f t="shared" si="54"/>
        <v>1</v>
      </c>
    </row>
    <row r="303" spans="1:6" ht="22.5">
      <c r="A303" s="10" t="s">
        <v>494</v>
      </c>
      <c r="B303" s="15" t="s">
        <v>493</v>
      </c>
      <c r="C303" s="12">
        <f>SUM(C305:C308)</f>
        <v>4302987.87</v>
      </c>
      <c r="D303" s="12">
        <f>SUM(D305:D308)</f>
        <v>4302987.87</v>
      </c>
      <c r="E303" s="57">
        <f t="shared" si="54"/>
        <v>1</v>
      </c>
    </row>
    <row r="304" spans="1:6" ht="12" customHeight="1">
      <c r="A304" s="41"/>
      <c r="B304" s="15" t="s">
        <v>481</v>
      </c>
      <c r="C304" s="12"/>
      <c r="D304" s="12"/>
      <c r="E304" s="62"/>
    </row>
    <row r="305" spans="1:8" ht="22.5">
      <c r="A305" s="42"/>
      <c r="B305" s="24" t="s">
        <v>483</v>
      </c>
      <c r="C305" s="25">
        <f>671906.66-41926.42-216567.66</f>
        <v>413412.57999999996</v>
      </c>
      <c r="D305" s="25">
        <f>142129.93+271282.65</f>
        <v>413412.58</v>
      </c>
      <c r="E305" s="63">
        <f t="shared" ref="E305:E306" si="55">D305/C305</f>
        <v>1.0000000000000002</v>
      </c>
      <c r="F305" s="43">
        <v>624660.63</v>
      </c>
    </row>
    <row r="306" spans="1:8">
      <c r="A306" s="42"/>
      <c r="B306" s="24" t="s">
        <v>482</v>
      </c>
      <c r="C306" s="25">
        <f>4348659.79-459084.5</f>
        <v>3889575.29</v>
      </c>
      <c r="D306" s="25">
        <f>3612794.75+276780.54</f>
        <v>3889575.29</v>
      </c>
      <c r="E306" s="63">
        <f t="shared" si="55"/>
        <v>1</v>
      </c>
      <c r="F306" s="44">
        <v>69113.64</v>
      </c>
    </row>
    <row r="307" spans="1:8" ht="24.75" hidden="1" customHeight="1">
      <c r="A307" s="42"/>
      <c r="B307" s="24" t="s">
        <v>495</v>
      </c>
      <c r="C307" s="25"/>
      <c r="D307" s="25"/>
      <c r="E307" s="64"/>
    </row>
    <row r="308" spans="1:8" ht="76.5" hidden="1" customHeight="1">
      <c r="A308" s="42"/>
      <c r="B308" s="24" t="s">
        <v>496</v>
      </c>
      <c r="C308" s="25"/>
      <c r="D308" s="25"/>
      <c r="E308" s="64"/>
    </row>
    <row r="309" spans="1:8" ht="55.5" customHeight="1">
      <c r="A309" s="6" t="s">
        <v>497</v>
      </c>
      <c r="B309" s="48" t="s">
        <v>511</v>
      </c>
      <c r="C309" s="9">
        <f>C310</f>
        <v>272226.76999999996</v>
      </c>
      <c r="D309" s="9">
        <f t="shared" ref="D309:D311" si="56">D310</f>
        <v>282154.99</v>
      </c>
      <c r="E309" s="56">
        <f t="shared" ref="E309:E318" si="57">D309/C309</f>
        <v>1.0364704029658804</v>
      </c>
      <c r="F309" s="9">
        <v>23479.08</v>
      </c>
    </row>
    <row r="310" spans="1:8" ht="55.5" customHeight="1">
      <c r="A310" s="10" t="s">
        <v>498</v>
      </c>
      <c r="B310" s="45" t="s">
        <v>499</v>
      </c>
      <c r="C310" s="12">
        <f>C311</f>
        <v>272226.76999999996</v>
      </c>
      <c r="D310" s="12">
        <f t="shared" si="56"/>
        <v>282154.99</v>
      </c>
      <c r="E310" s="57">
        <f t="shared" si="57"/>
        <v>1.0364704029658804</v>
      </c>
    </row>
    <row r="311" spans="1:8" ht="22.5">
      <c r="A311" s="10" t="s">
        <v>500</v>
      </c>
      <c r="B311" s="11" t="s">
        <v>501</v>
      </c>
      <c r="C311" s="13">
        <f>C312</f>
        <v>272226.76999999996</v>
      </c>
      <c r="D311" s="13">
        <f t="shared" si="56"/>
        <v>282154.99</v>
      </c>
      <c r="E311" s="58">
        <f t="shared" si="57"/>
        <v>1.0364704029658804</v>
      </c>
    </row>
    <row r="312" spans="1:8" ht="22.5" customHeight="1">
      <c r="A312" s="10" t="s">
        <v>502</v>
      </c>
      <c r="B312" s="11" t="s">
        <v>503</v>
      </c>
      <c r="C312" s="13">
        <f>45418.26+86462.33+127931.71+12414.47</f>
        <v>272226.76999999996</v>
      </c>
      <c r="D312" s="13">
        <v>282154.99</v>
      </c>
      <c r="E312" s="58">
        <f t="shared" si="57"/>
        <v>1.0364704029658804</v>
      </c>
      <c r="F312" s="13">
        <v>23479.08</v>
      </c>
    </row>
    <row r="313" spans="1:8" ht="36.75" customHeight="1">
      <c r="A313" s="6" t="s">
        <v>504</v>
      </c>
      <c r="B313" s="8" t="s">
        <v>505</v>
      </c>
      <c r="C313" s="9">
        <f>C316+C317+C314+C315</f>
        <v>-4807270.3900000006</v>
      </c>
      <c r="D313" s="9">
        <f>D316+D317+D314+D315</f>
        <v>-4984553.6099999994</v>
      </c>
      <c r="E313" s="56">
        <f t="shared" si="57"/>
        <v>1.0368781461448018</v>
      </c>
      <c r="F313" s="9">
        <f>F316+F317+F314</f>
        <v>-242570.56</v>
      </c>
      <c r="G313" s="9">
        <f>G316+G317+G314</f>
        <v>0</v>
      </c>
      <c r="H313" s="9">
        <f>H316+H317+H314</f>
        <v>0</v>
      </c>
    </row>
    <row r="314" spans="1:8" ht="42.75" customHeight="1">
      <c r="A314" s="10" t="s">
        <v>515</v>
      </c>
      <c r="B314" s="11" t="s">
        <v>514</v>
      </c>
      <c r="C314" s="13">
        <v>-1368069.48</v>
      </c>
      <c r="D314" s="13">
        <v>-1368069.48</v>
      </c>
      <c r="E314" s="58">
        <f t="shared" si="57"/>
        <v>1</v>
      </c>
      <c r="F314" s="31"/>
    </row>
    <row r="315" spans="1:8" ht="53.25" customHeight="1">
      <c r="A315" s="10" t="s">
        <v>545</v>
      </c>
      <c r="B315" s="11" t="s">
        <v>546</v>
      </c>
      <c r="C315" s="13">
        <v>0</v>
      </c>
      <c r="D315" s="13">
        <v>-167400</v>
      </c>
      <c r="E315" s="58" t="s">
        <v>543</v>
      </c>
      <c r="F315" s="31"/>
    </row>
    <row r="316" spans="1:8" ht="33.75">
      <c r="A316" s="10" t="s">
        <v>526</v>
      </c>
      <c r="B316" s="11" t="s">
        <v>506</v>
      </c>
      <c r="C316" s="13">
        <v>-5535.51</v>
      </c>
      <c r="D316" s="13">
        <v>-5535.51</v>
      </c>
      <c r="E316" s="58">
        <f t="shared" si="57"/>
        <v>1</v>
      </c>
    </row>
    <row r="317" spans="1:8" ht="36" customHeight="1">
      <c r="A317" s="10" t="s">
        <v>507</v>
      </c>
      <c r="B317" s="45" t="s">
        <v>512</v>
      </c>
      <c r="C317" s="13">
        <f>-3263306.7+304521.14-86462.33-375958.04-12459.47</f>
        <v>-3433665.4000000004</v>
      </c>
      <c r="D317" s="13">
        <v>-3443548.62</v>
      </c>
      <c r="E317" s="58">
        <f t="shared" si="57"/>
        <v>1.0028783293794439</v>
      </c>
      <c r="F317" s="13">
        <v>-242570.56</v>
      </c>
    </row>
    <row r="318" spans="1:8">
      <c r="A318" s="46"/>
      <c r="B318" s="8" t="s">
        <v>508</v>
      </c>
      <c r="C318" s="9">
        <f>C10+C164</f>
        <v>3007454382.6199999</v>
      </c>
      <c r="D318" s="9">
        <f>D10+D164</f>
        <v>3133526082.2599998</v>
      </c>
      <c r="E318" s="56">
        <f t="shared" si="57"/>
        <v>1.041919737957977</v>
      </c>
      <c r="F318" s="9">
        <f>F10+F165+F288+F294+F301+F309+F313</f>
        <v>470694967.09000003</v>
      </c>
      <c r="G318" s="9">
        <f>G10+G165+G288+G294+G301</f>
        <v>88354346.109999999</v>
      </c>
      <c r="H318" s="9">
        <f>H10+H165+H288+H294+H301</f>
        <v>132248025.61</v>
      </c>
    </row>
    <row r="321" spans="1:5">
      <c r="A321" s="68"/>
      <c r="B321" s="68"/>
      <c r="C321" s="47"/>
      <c r="D321" s="69"/>
      <c r="E321" s="69"/>
    </row>
  </sheetData>
  <mergeCells count="8">
    <mergeCell ref="A321:B321"/>
    <mergeCell ref="D321:E321"/>
    <mergeCell ref="C1:E1"/>
    <mergeCell ref="D3:E3"/>
    <mergeCell ref="B4:C4"/>
    <mergeCell ref="D4:E4"/>
    <mergeCell ref="A5:E5"/>
    <mergeCell ref="A6:E6"/>
  </mergeCells>
  <hyperlinks>
    <hyperlink ref="B115" r:id="rId1" display="consultantplus://offline/ref=AFFDD44EDB787B57E42B59B047C2F5A056F5DD13129992C59C44478DC8049E438D30C0F315DFB1A9C893390E38eBsCI"/>
    <hyperlink ref="B116" r:id="rId2" display="consultantplus://offline/ref=288120BAD9C6C38C3B5CD0F750D565E04BAEA21AE62704E8F04830D03581669D0BAE2D9C4CC96873A7E3150B0B4D818A1202DEEF74A1CAEBU2F3L"/>
    <hyperlink ref="B117" r:id="rId3" display="consultantplus://offline/ref=C0C6460C02EB0B893FA7CAB7556CB4048B2AA8DA84E88EB5CD8706334FA3A6BFCC7DB0E8183EF2C0B0C9921B640FB718F3BBB218FA56377FB9GFL"/>
    <hyperlink ref="B118" r:id="rId4" display="consultantplus://offline/ref=FA1D74473871410B2E49F2EE9C907462737AC4DFD1BEB1BBB6BDCE57D6C8B71D43F14F7F003D93E80D20965AA8D04DDCA1EF19D37E7FE7D0G8vEI"/>
    <hyperlink ref="B119" r:id="rId5" display="consultantplus://offline/ref=02269A5B9445E4A99D688258F76A8451B8BC2422F54AD34018439A5B1D6C2F4F7B4B3439643ECAF42D68B6231774ED2497E5AB23BA67012B30v1I"/>
    <hyperlink ref="B120" r:id="rId6" display="consultantplus://offline/ref=8939A9D9A551C129FD18E2758DD224255C85C380599E6F152D7D0B6F0BAEFC490D2EBE3407FBDFB661D03C511ED03788B69A2BA914AE630Ch8x2I"/>
    <hyperlink ref="B121" r:id="rId7" display="consultantplus://offline/ref=69BC498D08614C5CF877DBC9660DAFFB70B84B8E75727B762874E96621B45769B812978A2147ACA55B37D97B7B1916D2BE89CE65F1268210a1y6I"/>
    <hyperlink ref="B122" r:id="rId8" display="consultantplus://offline/ref=9BD2ADF5AE495FEDBA0208309055E802080234B156AF8982AD9495DD52F10DF5F91E5C8A9091C11827EB4B572C9210BDA350544ADA4DE8BBD1z0I"/>
    <hyperlink ref="B123" r:id="rId9" display="consultantplus://offline/ref=642B7B80064714C03F296F39B88981300539C567CDADC3D4AADC1968A042FBE9627D212403013E55A4C5ECC248C827D1913EC5177AA39BF1nEl1M"/>
    <hyperlink ref="B125" r:id="rId10" display="consultantplus://offline/ref=642B7B80064714C03F296F39B88981300539C567CDADC3D4AADC1968A042FBE9627D212403013E55A4C5ECC248C827D1913EC5177AA39BF1nEl1M"/>
    <hyperlink ref="B130" r:id="rId11" display="consultantplus://offline/ref=4D7B8B576DDB6188BDCF75ABE7B8D556F6C6137857F6DE7D3B0845B52EC1415EE1E477256FBD414585489A7B9D6F6FC6965F806E41724B76E6W9N"/>
    <hyperlink ref="B131" r:id="rId12" display="consultantplus://offline/ref=F30B6AC6D56AE82CB8091A189427C23560ABDD307BA68F271D420DA14857526D3F323C3577FFB0CCD996F072A73F2B5370098FCAA0F656D3mFW5N"/>
    <hyperlink ref="B132" r:id="rId13" display="consultantplus://offline/ref=E753AB266185A25EFBBF56E9E765EFB6D4614AB9AD69A288EEDC73C94F83F31694EB169DEF4C4058147E63975E0C4E5EBA799FFB9B0BT24BI"/>
    <hyperlink ref="B133" r:id="rId14" display="consultantplus://offline/ref=42F4547B37FDD15E99C6627051BCF165152C53E4E1869116FA9297F0FDE74BA94414D70CE2D0FBA57CC0EA3D2EEC07DA8C060D900200DB59I"/>
    <hyperlink ref="B134" r:id="rId15" display="consultantplus://offline/ref=2AEB02DD426ADCE1C61C628C9B77B331DD51D848715DE977C93BF03DD491C96AF1B3AF2442E3424413D193450042EF8A497E989E6E19W3l7L"/>
    <hyperlink ref="B137" r:id="rId16" display="consultantplus://offline/ref=3450A5D8796B40A7133CDDD55B896312F921C621F8C5207000C0270C29D198B9416CDA1B612EFA15170132B992DA836C649141FAD76BA370uBB8J"/>
    <hyperlink ref="B138" r:id="rId17" display="consultantplus://offline/ref=1BC3C5829D565209F17C74FE7A8DA4482B6FE20CAF7CC92D363DD8DEC483105C983DB6E7024F3844D9235593F0A3F4779DDA754FF6CF8E7FY1CAJ"/>
    <hyperlink ref="B141" r:id="rId18" display="consultantplus://offline/ref=93B26180C97A20FF02A1A04219C6D666F3ADD2591B16BA27388375E1ED4E7B5A8B1121C1AAEBDDD4C1A92C522C2A8905C101496DB7845537CAD9J"/>
    <hyperlink ref="B142" r:id="rId19" display="consultantplus://offline/ref=EADAC89DC30EC5BADC447957CA88674D9D8C46CED4A4C761E2342A8DD357F6EEA779D8C3470FA59731494A1E91AC9DECC43CBA4D49E92884Z1F2J"/>
    <hyperlink ref="B143" r:id="rId20" display="consultantplus://offline/ref=54371E2C26DF6A33FF72C5FC6813BAC75DD9EE56334932BB686953FA0AED01BFCB37DB29CF57D1A8D781CD7EA5C9B592E3B255783C7B0CD776F8J"/>
    <hyperlink ref="B144" r:id="rId21" display="consultantplus://offline/ref=0888D987A5F665E4F2E008444D7C4149A7D710FF8B52010093D9BB53E54A4E911E8D370C875AC9363DA1CD93D3F0D3EA0D6B2C811DF373D0b7H5J"/>
    <hyperlink ref="B145" r:id="rId22" display="consultantplus://offline/ref=B220532D94FF25BCB498A4588E6CA37F905A3E6AF88129BA345280795E0F0D21430A4212B52C3649D6434D90293C0AA495C4511BD4E67C57JFIEJ"/>
    <hyperlink ref="B146" r:id="rId23" display="consultantplus://offline/ref=E0C26197EACD86EFD820F38E5D117434BCDB5B457D0A27216D106448CDCDD1843D5544B36247D296BA798DC210E0A0CD44696613EC421B2EX2c5N"/>
    <hyperlink ref="B127" r:id="rId24" display="consultantplus://offline/ref=0D47F7213D5EEDCE291CDE024D8A028A4B87776E810483FAD1262E819EAF87F84DE21589E04E470F4E04ECAF96A67A4CFDBEF432C5741C2Fq865N"/>
    <hyperlink ref="B139" r:id="rId25" display="consultantplus://offline/ref=3D430ED77D3D27D3E61109E6CAC7D5E3D024272A902FE63C8E7CB2AD113725C60297266AF8F1AB2F51FA06DEB54CF146246C24377D1CBCFDKDE7O"/>
    <hyperlink ref="B140" r:id="rId26" display="consultantplus://offline/ref=BD0784487D55520114EA69C43A599087BA4BA161B0DE6B7B702C6B560B26F0B261F152C10BA99D4B7D4B8D07E7BCF7B93EFC8CB5B8E457C7v9DFO"/>
  </hyperlinks>
  <pageMargins left="0.39370078740157483" right="0.19685039370078741" top="0.39370078740157483" bottom="0.39370078740157483" header="0.19685039370078741" footer="0.19685039370078741"/>
  <pageSetup paperSize="9" scale="98" fitToWidth="3" fitToHeight="10" orientation="portrait" verticalDpi="0" r:id="rId27"/>
  <headerFooter alignWithMargins="0">
    <oddFooter>&amp;R&amp;P</oddFooter>
  </headerFooter>
  <legacyDrawing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2024 исполнение</vt:lpstr>
      <vt:lpstr>'бюджет 2024 исполнение'!Заголовки_для_печати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Анатольевна Иванова</dc:creator>
  <cp:lastModifiedBy>D</cp:lastModifiedBy>
  <cp:lastPrinted>2025-06-16T08:02:04Z</cp:lastPrinted>
  <dcterms:created xsi:type="dcterms:W3CDTF">2023-11-09T12:09:20Z</dcterms:created>
  <dcterms:modified xsi:type="dcterms:W3CDTF">2025-06-16T08:03:35Z</dcterms:modified>
</cp:coreProperties>
</file>