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11.2024" sheetId="1" r:id="rId1"/>
  </sheets>
  <definedNames>
    <definedName name="_xlnm.Print_Area" localSheetId="0">'05.11.2024'!$A$1:$J$481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1" l="1"/>
  <c r="G140" i="1"/>
  <c r="G108" i="1"/>
  <c r="G92" i="1"/>
  <c r="G88" i="1"/>
  <c r="G241" i="1"/>
  <c r="G217" i="1"/>
  <c r="H476" i="1" l="1"/>
  <c r="I476" i="1"/>
  <c r="G476" i="1"/>
  <c r="G116" i="1" l="1"/>
  <c r="G221" i="1"/>
  <c r="G64" i="1"/>
  <c r="G415" i="1"/>
  <c r="G420" i="1"/>
  <c r="I420" i="1"/>
  <c r="H420" i="1"/>
  <c r="G329" i="1"/>
  <c r="G333" i="1"/>
  <c r="G475" i="1" l="1"/>
  <c r="G478" i="1" l="1"/>
  <c r="G31" i="1"/>
  <c r="G30" i="1"/>
  <c r="I403" i="1"/>
  <c r="H403" i="1"/>
  <c r="G403" i="1"/>
  <c r="G385" i="1" l="1"/>
  <c r="G395" i="1"/>
  <c r="I395" i="1"/>
  <c r="H395" i="1"/>
  <c r="G434" i="1"/>
  <c r="G390" i="1"/>
  <c r="H474" i="1"/>
  <c r="I474" i="1"/>
  <c r="I475" i="1"/>
  <c r="G380" i="1" l="1"/>
  <c r="G196" i="1"/>
  <c r="G55" i="1"/>
  <c r="G29" i="1" l="1"/>
  <c r="G431" i="1"/>
  <c r="G368" i="1"/>
  <c r="G356" i="1"/>
  <c r="G187" i="1"/>
  <c r="G364" i="1"/>
  <c r="G200" i="1"/>
  <c r="I374" i="1" l="1"/>
  <c r="H374" i="1"/>
  <c r="G374" i="1"/>
  <c r="G394" i="1"/>
  <c r="I469" i="1" l="1"/>
  <c r="H469" i="1"/>
  <c r="G469" i="1"/>
  <c r="G454" i="1" l="1"/>
  <c r="G440" i="1"/>
  <c r="G419" i="1"/>
  <c r="G412" i="1"/>
  <c r="I412" i="1"/>
  <c r="H412" i="1"/>
  <c r="G257" i="1"/>
  <c r="G253" i="1"/>
  <c r="G237" i="1"/>
  <c r="G229" i="1"/>
  <c r="G213" i="1"/>
  <c r="G193" i="1"/>
  <c r="I133" i="1"/>
  <c r="H133" i="1"/>
  <c r="G133" i="1"/>
  <c r="I129" i="1"/>
  <c r="H129" i="1"/>
  <c r="G129" i="1"/>
  <c r="I125" i="1"/>
  <c r="H125" i="1"/>
  <c r="G125" i="1"/>
  <c r="I101" i="1"/>
  <c r="H101" i="1"/>
  <c r="G101" i="1"/>
  <c r="G96" i="1"/>
  <c r="I81" i="1"/>
  <c r="H81" i="1"/>
  <c r="G81" i="1"/>
  <c r="G80" i="1" l="1"/>
  <c r="G68" i="1"/>
  <c r="G60" i="1"/>
  <c r="G51" i="1"/>
  <c r="G225" i="1" l="1"/>
  <c r="G137" i="1" l="1"/>
  <c r="I137" i="1"/>
  <c r="H137" i="1"/>
  <c r="G124" i="1"/>
  <c r="H333" i="1"/>
  <c r="H329" i="1"/>
  <c r="G411" i="1" l="1"/>
  <c r="G233" i="1"/>
  <c r="G148" i="1"/>
  <c r="I322" i="1" l="1"/>
  <c r="H322" i="1"/>
  <c r="G322" i="1"/>
  <c r="I318" i="1"/>
  <c r="H318" i="1"/>
  <c r="G318" i="1"/>
  <c r="I314" i="1"/>
  <c r="H314" i="1"/>
  <c r="G314" i="1"/>
  <c r="I310" i="1"/>
  <c r="H310" i="1"/>
  <c r="G310" i="1"/>
  <c r="I306" i="1"/>
  <c r="H306" i="1"/>
  <c r="G306" i="1"/>
  <c r="I302" i="1"/>
  <c r="H302" i="1"/>
  <c r="G302" i="1"/>
  <c r="I298" i="1"/>
  <c r="H298" i="1"/>
  <c r="G298" i="1"/>
  <c r="I294" i="1"/>
  <c r="H294" i="1"/>
  <c r="G294" i="1"/>
  <c r="G335" i="1" l="1"/>
  <c r="G474" i="1" l="1"/>
  <c r="G477" i="1" l="1"/>
  <c r="G249" i="1" l="1"/>
  <c r="I117" i="1"/>
  <c r="H117" i="1"/>
  <c r="G117" i="1"/>
  <c r="I382" i="1"/>
  <c r="H382" i="1"/>
  <c r="G382" i="1"/>
  <c r="G261" i="1"/>
  <c r="G205" i="1"/>
  <c r="G141" i="1"/>
  <c r="I141" i="1"/>
  <c r="H141" i="1"/>
  <c r="G100" i="1"/>
  <c r="G360" i="1" l="1"/>
  <c r="G245" i="1" l="1"/>
  <c r="G209" i="1"/>
  <c r="G402" i="1" l="1"/>
  <c r="I424" i="1" l="1"/>
  <c r="H424" i="1"/>
  <c r="G424" i="1"/>
  <c r="I346" i="1" l="1"/>
  <c r="H346" i="1"/>
  <c r="G346" i="1"/>
  <c r="I342" i="1"/>
  <c r="H342" i="1"/>
  <c r="G342" i="1"/>
  <c r="I338" i="1"/>
  <c r="H338" i="1"/>
  <c r="G338" i="1"/>
  <c r="G266" i="1"/>
  <c r="I266" i="1"/>
  <c r="H266" i="1"/>
  <c r="I238" i="1"/>
  <c r="H238" i="1"/>
  <c r="G238" i="1"/>
  <c r="I226" i="1"/>
  <c r="H226" i="1"/>
  <c r="G226" i="1"/>
  <c r="I177" i="1"/>
  <c r="H177" i="1"/>
  <c r="G177" i="1"/>
  <c r="I173" i="1"/>
  <c r="H173" i="1"/>
  <c r="G173" i="1"/>
  <c r="I169" i="1"/>
  <c r="H169" i="1"/>
  <c r="G169" i="1"/>
  <c r="I113" i="1"/>
  <c r="H113" i="1"/>
  <c r="G113" i="1"/>
  <c r="G112" i="1"/>
  <c r="I109" i="1"/>
  <c r="H109" i="1"/>
  <c r="G105" i="1"/>
  <c r="I105" i="1"/>
  <c r="H105" i="1"/>
  <c r="G97" i="1"/>
  <c r="I97" i="1"/>
  <c r="H97" i="1"/>
  <c r="H93" i="1"/>
  <c r="G93" i="1"/>
  <c r="G89" i="1"/>
  <c r="I89" i="1"/>
  <c r="H89" i="1"/>
  <c r="G85" i="1"/>
  <c r="I85" i="1"/>
  <c r="H85" i="1"/>
  <c r="I73" i="1"/>
  <c r="H73" i="1"/>
  <c r="G73" i="1"/>
  <c r="G69" i="1"/>
  <c r="I69" i="1"/>
  <c r="H69" i="1"/>
  <c r="G109" i="1" l="1"/>
  <c r="I165" i="1" l="1"/>
  <c r="H165" i="1"/>
  <c r="G165" i="1"/>
  <c r="I157" i="1"/>
  <c r="H157" i="1"/>
  <c r="G157" i="1"/>
  <c r="I153" i="1"/>
  <c r="H153" i="1"/>
  <c r="G153" i="1"/>
  <c r="I149" i="1"/>
  <c r="H149" i="1"/>
  <c r="G149" i="1"/>
  <c r="I77" i="1" l="1"/>
  <c r="H77" i="1"/>
  <c r="G77" i="1"/>
  <c r="I61" i="1"/>
  <c r="H61" i="1"/>
  <c r="G61" i="1"/>
  <c r="I262" i="1" l="1"/>
  <c r="H262" i="1"/>
  <c r="G262" i="1"/>
  <c r="I258" i="1" l="1"/>
  <c r="H258" i="1"/>
  <c r="G258" i="1"/>
  <c r="G353" i="1" l="1"/>
  <c r="G194" i="1"/>
  <c r="G473" i="1" l="1"/>
  <c r="H370" i="1"/>
  <c r="G370" i="1"/>
  <c r="H478" i="1" l="1"/>
  <c r="I478" i="1"/>
  <c r="I145" i="1"/>
  <c r="H145" i="1"/>
  <c r="G145" i="1"/>
  <c r="I60" i="1" l="1"/>
  <c r="H60" i="1"/>
  <c r="I51" i="1"/>
  <c r="H51" i="1"/>
  <c r="I473" i="1" l="1"/>
  <c r="I334" i="1"/>
  <c r="H334" i="1"/>
  <c r="G334" i="1"/>
  <c r="I370" i="1" l="1"/>
  <c r="G246" i="1"/>
  <c r="G270" i="1"/>
  <c r="G378" i="1"/>
  <c r="I391" i="1" l="1"/>
  <c r="H391" i="1"/>
  <c r="G391" i="1"/>
  <c r="I278" i="1"/>
  <c r="H278" i="1"/>
  <c r="G278" i="1"/>
  <c r="I290" i="1"/>
  <c r="H293" i="1"/>
  <c r="H292" i="1"/>
  <c r="I286" i="1"/>
  <c r="H286" i="1"/>
  <c r="G286" i="1"/>
  <c r="I282" i="1"/>
  <c r="H282" i="1"/>
  <c r="G282" i="1"/>
  <c r="H475" i="1" l="1"/>
  <c r="H473" i="1" s="1"/>
  <c r="I57" i="1"/>
  <c r="H57" i="1"/>
  <c r="G57" i="1"/>
  <c r="I27" i="1" l="1"/>
  <c r="H27" i="1"/>
  <c r="G27" i="1"/>
  <c r="I22" i="1" l="1"/>
  <c r="H22" i="1"/>
  <c r="G22" i="1"/>
  <c r="I416" i="1" l="1"/>
  <c r="H416" i="1"/>
  <c r="G416" i="1"/>
  <c r="G250" i="1"/>
  <c r="I250" i="1"/>
  <c r="H250" i="1"/>
  <c r="I242" i="1"/>
  <c r="H242" i="1"/>
  <c r="G242" i="1"/>
  <c r="I222" i="1" l="1"/>
  <c r="H222" i="1"/>
  <c r="G222" i="1"/>
  <c r="I65" i="1"/>
  <c r="H65" i="1"/>
  <c r="G65" i="1"/>
  <c r="I378" i="1" l="1"/>
  <c r="H378" i="1"/>
  <c r="H326" i="1" l="1"/>
  <c r="I230" i="1" l="1"/>
  <c r="H230" i="1"/>
  <c r="G230" i="1"/>
  <c r="I408" i="1" l="1"/>
  <c r="H408" i="1"/>
  <c r="G408" i="1"/>
  <c r="G399" i="1" l="1"/>
  <c r="I399" i="1"/>
  <c r="H399" i="1"/>
  <c r="I254" i="1"/>
  <c r="H254" i="1"/>
  <c r="G254" i="1"/>
  <c r="I246" i="1"/>
  <c r="H246" i="1"/>
  <c r="G234" i="1"/>
  <c r="I234" i="1"/>
  <c r="H234" i="1"/>
  <c r="I218" i="1"/>
  <c r="H218" i="1"/>
  <c r="G218" i="1"/>
  <c r="G214" i="1"/>
  <c r="I214" i="1"/>
  <c r="H214" i="1"/>
  <c r="I202" i="1"/>
  <c r="H202" i="1"/>
  <c r="G202" i="1"/>
  <c r="G121" i="1" l="1"/>
  <c r="I121" i="1"/>
  <c r="H121" i="1"/>
  <c r="I210" i="1" l="1"/>
  <c r="H210" i="1"/>
  <c r="G210" i="1"/>
  <c r="I206" i="1" l="1"/>
  <c r="H206" i="1"/>
  <c r="G206" i="1"/>
  <c r="I330" i="1" l="1"/>
  <c r="H330" i="1"/>
  <c r="G330" i="1"/>
  <c r="I274" i="1" l="1"/>
  <c r="H274" i="1"/>
  <c r="G274" i="1"/>
  <c r="I270" i="1"/>
  <c r="H270" i="1"/>
  <c r="H43" i="1"/>
  <c r="I43" i="1"/>
  <c r="G43" i="1"/>
  <c r="I464" i="1" l="1"/>
  <c r="H464" i="1"/>
  <c r="G464" i="1"/>
  <c r="I460" i="1"/>
  <c r="H460" i="1"/>
  <c r="G460" i="1"/>
  <c r="I456" i="1"/>
  <c r="H456" i="1"/>
  <c r="G456" i="1"/>
  <c r="I451" i="1"/>
  <c r="H451" i="1"/>
  <c r="G451" i="1"/>
  <c r="I446" i="1"/>
  <c r="H446" i="1"/>
  <c r="G446" i="1"/>
  <c r="I442" i="1"/>
  <c r="H442" i="1"/>
  <c r="G442" i="1"/>
  <c r="I437" i="1"/>
  <c r="H437" i="1"/>
  <c r="G437" i="1"/>
  <c r="I432" i="1"/>
  <c r="H432" i="1"/>
  <c r="G432" i="1"/>
  <c r="I428" i="1"/>
  <c r="H428" i="1"/>
  <c r="G428" i="1"/>
  <c r="I387" i="1"/>
  <c r="H387" i="1"/>
  <c r="G387" i="1"/>
  <c r="I366" i="1"/>
  <c r="H366" i="1"/>
  <c r="G366" i="1"/>
  <c r="I362" i="1"/>
  <c r="H362" i="1"/>
  <c r="G362" i="1"/>
  <c r="I358" i="1"/>
  <c r="H358" i="1"/>
  <c r="G358" i="1"/>
  <c r="I354" i="1"/>
  <c r="H354" i="1"/>
  <c r="G354" i="1"/>
  <c r="I350" i="1"/>
  <c r="H350" i="1"/>
  <c r="G350" i="1"/>
  <c r="I326" i="1"/>
  <c r="G326" i="1"/>
  <c r="H290" i="1" l="1"/>
  <c r="G290" i="1"/>
  <c r="I198" i="1"/>
  <c r="H198" i="1"/>
  <c r="G198" i="1"/>
  <c r="I194" i="1"/>
  <c r="H194" i="1"/>
  <c r="I190" i="1"/>
  <c r="H190" i="1"/>
  <c r="G190" i="1"/>
  <c r="I185" i="1"/>
  <c r="H185" i="1"/>
  <c r="G185" i="1"/>
  <c r="I181" i="1"/>
  <c r="H181" i="1"/>
  <c r="G181" i="1"/>
  <c r="I161" i="1"/>
  <c r="H161" i="1"/>
  <c r="G161" i="1"/>
  <c r="I53" i="1" l="1"/>
  <c r="H53" i="1"/>
  <c r="G53" i="1"/>
  <c r="I48" i="1"/>
  <c r="H48" i="1"/>
  <c r="G48" i="1"/>
  <c r="I38" i="1"/>
  <c r="H38" i="1"/>
  <c r="G38" i="1"/>
  <c r="H33" i="1"/>
  <c r="I33" i="1"/>
  <c r="G33" i="1"/>
</calcChain>
</file>

<file path=xl/sharedStrings.xml><?xml version="1.0" encoding="utf-8"?>
<sst xmlns="http://schemas.openxmlformats.org/spreadsheetml/2006/main" count="1263" uniqueCount="304">
  <si>
    <t>План реализации муниципальной программы</t>
  </si>
  <si>
    <t>Описание направления реализации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</si>
  <si>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</si>
  <si>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</si>
  <si>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</si>
  <si>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</si>
  <si>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</si>
  <si>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</si>
  <si>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</si>
  <si>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</si>
  <si>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</si>
  <si>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</si>
  <si>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</si>
  <si>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</si>
  <si>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</si>
  <si>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текущий финансовый год  </t>
  </si>
  <si>
    <t>первый год планового периода</t>
  </si>
  <si>
    <t>второй год планового периода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</si>
  <si>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</si>
  <si>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</si>
  <si>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</si>
  <si>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>Приложение к Приказу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</si>
  <si>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</si>
  <si>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</si>
  <si>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</si>
  <si>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</si>
  <si>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</si>
  <si>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</si>
  <si>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</si>
  <si>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</si>
  <si>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</si>
  <si>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</si>
  <si>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</si>
  <si>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</si>
  <si>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</si>
  <si>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</si>
  <si>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</si>
  <si>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</si>
  <si>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</si>
  <si>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</si>
  <si>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</si>
  <si>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</si>
  <si>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</si>
  <si>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</si>
  <si>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</si>
  <si>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</si>
  <si>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</si>
  <si>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</si>
  <si>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</si>
  <si>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</si>
  <si>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</si>
  <si>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</si>
  <si>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</si>
  <si>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</si>
  <si>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</si>
  <si>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</si>
  <si>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</si>
  <si>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</si>
  <si>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</si>
  <si>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</si>
  <si>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</si>
  <si>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</si>
  <si>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</si>
  <si>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</si>
  <si>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</si>
  <si>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</si>
  <si>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</si>
  <si>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</si>
  <si>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</si>
  <si>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</si>
  <si>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</si>
  <si>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</si>
  <si>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</si>
  <si>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</si>
  <si>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</si>
  <si>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</si>
  <si>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</si>
  <si>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</si>
  <si>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</si>
  <si>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</si>
  <si>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</si>
  <si>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</si>
  <si>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</si>
  <si>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</si>
  <si>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</si>
  <si>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</si>
  <si>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</si>
  <si>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</si>
  <si>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</si>
  <si>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</si>
  <si>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</si>
  <si>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</si>
  <si>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</si>
  <si>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</si>
  <si>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</si>
  <si>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</si>
  <si>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</si>
  <si>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</si>
  <si>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</si>
  <si>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</si>
  <si>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</si>
  <si>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</si>
  <si>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</si>
  <si>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</si>
  <si>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</si>
  <si>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</si>
  <si>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</si>
  <si>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</si>
  <si>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</si>
  <si>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</si>
  <si>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</si>
  <si>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</si>
  <si>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</si>
  <si>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</si>
  <si>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</si>
  <si>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</si>
  <si>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</si>
  <si>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</si>
  <si>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</si>
  <si>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</si>
  <si>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</si>
  <si>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</si>
  <si>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</si>
  <si>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</si>
  <si>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</si>
  <si>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</si>
  <si>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</si>
  <si>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</si>
  <si>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</si>
  <si>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</si>
  <si>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</si>
  <si>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</si>
  <si>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</si>
  <si>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</si>
  <si>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Произведены мероприятия в целях устранения предписаний контролирующих органов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</si>
  <si>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</si>
  <si>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</si>
  <si>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</si>
  <si>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</si>
  <si>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</si>
  <si>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</si>
  <si>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</si>
  <si>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</si>
  <si>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</si>
  <si>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</si>
  <si>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</si>
  <si>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</si>
  <si>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</si>
  <si>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</si>
  <si>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</si>
  <si>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</si>
  <si>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</si>
  <si>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</si>
  <si>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</si>
  <si>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для муниципального бюджетного общеобразовательного учреждения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</si>
  <si>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</si>
  <si>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""Шелепинская СОШ №27"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</si>
  <si>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</si>
  <si>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</si>
  <si>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</si>
  <si>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"Средняя общеобразовательная школа № 11"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</si>
  <si>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</si>
  <si>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</si>
  <si>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</si>
  <si>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</si>
  <si>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</si>
  <si>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</si>
  <si>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</si>
  <si>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</si>
  <si>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</si>
  <si>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</si>
  <si>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</si>
  <si>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№ 271-д от «28» декабря 2023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</si>
  <si>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</si>
  <si>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</si>
  <si>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</si>
  <si>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</si>
  <si>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Укрепление материально-технической базы муниципальных учреждений (замена котла отопления муниципального бюджетного общеобразовательного учреждения "Борисовская начальная общеобразовательная школа № 26")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</si>
  <si>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</si>
  <si>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</si>
  <si>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</si>
  <si>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</si>
  <si>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</si>
  <si>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</si>
  <si>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</si>
  <si>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</si>
  <si>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</si>
  <si>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</si>
  <si>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</si>
  <si>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</si>
  <si>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</si>
  <si>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</si>
  <si>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</si>
  <si>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</si>
  <si>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</si>
  <si>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</si>
  <si>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№5")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</si>
  <si>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</si>
  <si>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</si>
  <si>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</si>
  <si>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 муниципального бюджетного дошкольного образовательного учреждения "Детский сад общеразвивающего вида №21")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</si>
  <si>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</si>
  <si>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</si>
  <si>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</si>
  <si>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</si>
  <si>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</si>
  <si>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</si>
  <si>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</si>
  <si>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</si>
  <si>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</si>
  <si>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</si>
  <si>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</si>
  <si>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</si>
  <si>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</si>
  <si>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</si>
  <si>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</si>
  <si>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</si>
  <si>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(установка камер видеонаблюдения для муниципального бюджетного общеобразовательного учреждения "Шелепинская средняя общеобразовательная школа № 27")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</si>
  <si>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</si>
  <si>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</si>
  <si>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</si>
  <si>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</si>
  <si>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</si>
  <si>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</si>
  <si>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</si>
  <si>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</si>
  <si>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Укрепление материально-технической базы муниципальных учреждений (ремонт кровли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</si>
  <si>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(ремонт части кровли; ввод в эксплуатацию подъемной платформы;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</si>
  <si>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ремонт кровли,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</si>
  <si>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</si>
  <si>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</si>
  <si>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санузлов, ввода системы отопления, пола и потолка в каб. 33, ремонт хозпостройки, установка электромагнитных (электромеханических) замков и видеодомофонов на калитки;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</si>
  <si>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(замена  ограждения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</si>
  <si>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</si>
  <si>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</si>
  <si>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</si>
  <si>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</si>
  <si>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Укрепление материально-технической базы муниципальных учреждений (замена ливневой канализации муниципального бюджетного дошкольного образовательного учреждения "Детский сад комбинированного вида №27")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</si>
  <si>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</si>
  <si>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</si>
  <si>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</si>
  <si>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Укрепление материально-технической базы муниципальных учреждений (ремонт потолков малых спортзалов, санузлов, внутренних помещений, ввод в эксплуатацию подъемной платформы, устройство аварийного освещения, приобретение мебели для муниципального бюджетного общеобразовательного учреждения "Средняя общеобразовательная школа № 2")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</si>
  <si>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</si>
  <si>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</si>
  <si>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</si>
  <si>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</si>
  <si>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</si>
  <si>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</si>
  <si>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</si>
  <si>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</si>
  <si>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</si>
  <si>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</si>
  <si>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</si>
  <si>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</si>
  <si>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</si>
  <si>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</si>
  <si>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>Укрепление материально-технической базы муниципальных учреждений (ремонт кровли, ремонт ограждения; асфальтирование территории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</si>
  <si>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 для муниципального бюджетного общеобразовательного учреждения "Шелепинская средняя общеобразовательная школа № 27")</t>
  </si>
  <si>
    <t>Укрепление материально-технической базы муниципальных учреждений (опиловка аварийных деревьев, ремонт инжинерных систем для муниципального бюджетного общеобразовательного учреждения "Гимназия № 18")</t>
  </si>
  <si>
    <t xml:space="preserve">Начальник Управления образования </t>
  </si>
  <si>
    <t>И.А. Шумицкая</t>
  </si>
  <si>
    <t>Укрепление материально-технической базы муниципальных учреждений (замена оконных и дверных блоков, котла отопления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</si>
  <si>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</si>
  <si>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</si>
  <si>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(частичный ремонт стен и потолка муниципального бюджетного дошкольного образовательного учреждения "Детский сад общеразвивающего вида №10")</t>
  </si>
  <si>
    <t>Управление образования администрации муниципального образования город Алексин,  МБДОУ "ДС общеразвивающего вида №10"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</si>
  <si>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калитки, приобретение шкафов для раздевания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</si>
  <si>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"Центр развития ребенка - детский сад №13")</t>
  </si>
  <si>
    <t>Укрепление материально-технической базы муниципальных учреждений (замена оконных блоков муниципального бюджетного дошкольного образовательного учреждения "Детский сад комбинированного вида №18")</t>
  </si>
  <si>
    <t>Управление образования администрации муниципального образования город Алексин,  МБДОУ "ДС комбинированного вида №18"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</si>
  <si>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</si>
  <si>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 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</si>
  <si>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(приобретение шкафов для раздевания для муниципального бюджетного общеобразовательного учреждения "Авангардская средняя общеобразовательная школа № 7")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</si>
  <si>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</si>
  <si>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(приобретение мебели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</si>
  <si>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(асфальтирование территории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</si>
  <si>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(замена оконных блоков, ремонт санузлов, отопления, демонтаж спортивной площадки, устройство калитки ограждения, ремонт кровли (замена водосточной системы),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</si>
  <si>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</si>
  <si>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</si>
  <si>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(ремонт снегозадержателей, ремонт системы водоотведения муниципального бюджетного учреждения дополнительного образования "Детско-юношеская спортивная школа № 1")</t>
  </si>
  <si>
    <t>Управление образования администрации муниципального образования город Алексин,  МБУ ДО "ДЮСШ № 1"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</si>
  <si>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</si>
  <si>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</si>
  <si>
    <t>904 0709 01 4 08 28680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</si>
  <si>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</si>
  <si>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</si>
  <si>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904 0702 01 4 02 L0500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</si>
  <si>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</si>
  <si>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(выполнение работ по замене оконных блоков в помещениях муниципального бюджетного учреждения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</si>
  <si>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</si>
  <si>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(устройство ограждения для муниципального бюджетного учреждения дополнительного образования "Детско-юношеская спортивная школа "Горизонт")</t>
  </si>
  <si>
    <t>Управление образования администрации муниципального образования город Алексин,  МБУ ДО "ДЮСШ "Горизонт"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</si>
  <si>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</si>
  <si>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</si>
  <si>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насосов,приобретение оборудования и посуды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</si>
  <si>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</si>
  <si>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</si>
  <si>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</si>
  <si>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(замена котла отопления, ремонт ХВС, приобретение школьной мебели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</si>
  <si>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</si>
  <si>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электротоваров;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</si>
  <si>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№ 197-д от «05» ноября 2024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</si>
  <si>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 для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</si>
  <si>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(ремонт кровли, утепление теплотрассы для муниципального бюджетного общеобразовательного учреждения "Буныревская средняя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</si>
</sst>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" fontId="7" fillId="0" borderId="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2" fillId="0" borderId="6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8" fillId="0" borderId="0" xfId="0" applyNumberFormat="1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5"/>
  <sheetViews>
    <sheetView tabSelected="1" view="pageBreakPreview" topLeftCell="A462" zoomScaleNormal="100" zoomScaleSheetLayoutView="100" workbookViewId="0">
      <selection activeCell="D161" sqref="D161:D164"/>
    </sheetView>
  </sheetViews>
  <sheetFormatPr defaultRowHeight="15" x14ac:dyDescent="0.25"/>
  <cols>
    <col min="1" max="1" width="39.140625" style="10" customWidth="1"/>
    <col min="2" max="2" width="27" style="10" customWidth="1"/>
    <col min="3" max="3" width="10.28515625" style="10" customWidth="1"/>
    <col min="4" max="4" width="10.140625" style="10" customWidth="1"/>
    <col min="5" max="5" width="14.7109375" style="10" customWidth="1"/>
    <col min="6" max="6" width="20" style="10" customWidth="1"/>
    <col min="7" max="7" width="15.7109375" style="10" customWidth="1"/>
    <col min="8" max="8" width="14.42578125" style="10" customWidth="1"/>
    <col min="9" max="9" width="15" style="10" customWidth="1"/>
    <col min="10" max="10" width="33" style="10" customWidth="1"/>
    <col min="11" max="14" width="20.5703125" style="6" customWidth="1"/>
    <col min="15" max="15" width="20.5703125" customWidth="1"/>
  </cols>
  <sheetData>
    <row r="1" spans="1:10" x14ac:dyDescent="0.25">
      <c r="I1" s="23" t="s">
        <v>21</v>
      </c>
      <c r="J1"/>
    </row>
    <row r="2" spans="1:10" x14ac:dyDescent="0.25">
      <c r="I2" s="23" t="s">
        <v>22</v>
      </c>
      <c r="J2"/>
    </row>
    <row r="3" spans="1:10" x14ac:dyDescent="0.25">
      <c r="I3" s="23" t="s">
        <v>23</v>
      </c>
      <c r="J3"/>
    </row>
    <row r="4" spans="1:10" x14ac:dyDescent="0.25">
      <c r="I4" s="24" t="s">
        <v>301</v>
      </c>
      <c r="J4"/>
    </row>
    <row r="6" spans="1:10" x14ac:dyDescent="0.25">
      <c r="I6" s="11" t="s">
        <v>169</v>
      </c>
    </row>
    <row r="7" spans="1:10" x14ac:dyDescent="0.25">
      <c r="I7" s="11" t="s">
        <v>22</v>
      </c>
    </row>
    <row r="8" spans="1:10" x14ac:dyDescent="0.25">
      <c r="I8" s="11" t="s">
        <v>23</v>
      </c>
    </row>
    <row r="9" spans="1:10" x14ac:dyDescent="0.25">
      <c r="I9" s="5" t="s">
        <v>172</v>
      </c>
    </row>
    <row r="11" spans="1:10" hidden="1" x14ac:dyDescent="0.25">
      <c r="I11" s="11" t="s">
        <v>21</v>
      </c>
    </row>
    <row r="12" spans="1:10" hidden="1" x14ac:dyDescent="0.25">
      <c r="I12" s="11" t="s">
        <v>22</v>
      </c>
    </row>
    <row r="13" spans="1:10" hidden="1" x14ac:dyDescent="0.25">
      <c r="I13" s="11" t="s">
        <v>23</v>
      </c>
    </row>
    <row r="14" spans="1:10" hidden="1" x14ac:dyDescent="0.25">
      <c r="I14" s="5" t="s">
        <v>24</v>
      </c>
    </row>
    <row r="16" spans="1:10" ht="15.75" x14ac:dyDescent="0.25">
      <c r="A16" s="72" t="s">
        <v>0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10" ht="15.75" x14ac:dyDescent="0.25">
      <c r="A17" s="73" t="s">
        <v>137</v>
      </c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14.75" customHeight="1" x14ac:dyDescent="0.25">
      <c r="A18" s="75" t="s">
        <v>1</v>
      </c>
      <c r="B18" s="75" t="s">
        <v>2</v>
      </c>
      <c r="C18" s="75" t="s">
        <v>12</v>
      </c>
      <c r="D18" s="75"/>
      <c r="E18" s="76" t="s">
        <v>13</v>
      </c>
      <c r="F18" s="76" t="s">
        <v>102</v>
      </c>
      <c r="G18" s="75" t="s">
        <v>14</v>
      </c>
      <c r="H18" s="75"/>
      <c r="I18" s="75"/>
      <c r="J18" s="75" t="s">
        <v>18</v>
      </c>
    </row>
    <row r="19" spans="1:10" ht="38.25" x14ac:dyDescent="0.25">
      <c r="A19" s="75"/>
      <c r="B19" s="75"/>
      <c r="C19" s="3" t="s">
        <v>19</v>
      </c>
      <c r="D19" s="3" t="s">
        <v>20</v>
      </c>
      <c r="E19" s="77"/>
      <c r="F19" s="77"/>
      <c r="G19" s="3" t="s">
        <v>15</v>
      </c>
      <c r="H19" s="3" t="s">
        <v>16</v>
      </c>
      <c r="I19" s="3" t="s">
        <v>17</v>
      </c>
      <c r="J19" s="75"/>
    </row>
    <row r="20" spans="1:10" x14ac:dyDescent="0.25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</row>
    <row r="21" spans="1:10" x14ac:dyDescent="0.25">
      <c r="A21" s="74" t="s">
        <v>138</v>
      </c>
      <c r="B21" s="74"/>
      <c r="C21" s="74"/>
      <c r="D21" s="74"/>
      <c r="E21" s="74"/>
      <c r="F21" s="74"/>
      <c r="G21" s="74"/>
      <c r="H21" s="74"/>
      <c r="I21" s="74"/>
      <c r="J21" s="74"/>
    </row>
    <row r="22" spans="1:10" ht="24" customHeight="1" x14ac:dyDescent="0.25">
      <c r="A22" s="67" t="s">
        <v>140</v>
      </c>
      <c r="B22" s="67" t="s">
        <v>141</v>
      </c>
      <c r="C22" s="68">
        <v>45292</v>
      </c>
      <c r="D22" s="68">
        <v>45657</v>
      </c>
      <c r="E22" s="12" t="s">
        <v>6</v>
      </c>
      <c r="F22" s="3" t="s">
        <v>144</v>
      </c>
      <c r="G22" s="4">
        <f>SUM(G23:G26)</f>
        <v>1651902.1099999999</v>
      </c>
      <c r="H22" s="4">
        <f t="shared" ref="H22:I22" si="0">SUM(H23:H26)</f>
        <v>0</v>
      </c>
      <c r="I22" s="4">
        <f t="shared" si="0"/>
        <v>0</v>
      </c>
      <c r="J22" s="69" t="s">
        <v>114</v>
      </c>
    </row>
    <row r="23" spans="1:10" ht="24" customHeight="1" x14ac:dyDescent="0.25">
      <c r="A23" s="67"/>
      <c r="B23" s="67"/>
      <c r="C23" s="68"/>
      <c r="D23" s="68"/>
      <c r="E23" s="12" t="s">
        <v>8</v>
      </c>
      <c r="F23" s="3" t="s">
        <v>9</v>
      </c>
      <c r="G23" s="4">
        <v>0</v>
      </c>
      <c r="H23" s="4">
        <v>0</v>
      </c>
      <c r="I23" s="4">
        <v>0</v>
      </c>
      <c r="J23" s="69"/>
    </row>
    <row r="24" spans="1:10" ht="24" customHeight="1" x14ac:dyDescent="0.25">
      <c r="A24" s="67"/>
      <c r="B24" s="67"/>
      <c r="C24" s="68"/>
      <c r="D24" s="68"/>
      <c r="E24" s="12" t="s">
        <v>10</v>
      </c>
      <c r="F24" s="3" t="s">
        <v>9</v>
      </c>
      <c r="G24" s="4">
        <v>991141.27</v>
      </c>
      <c r="H24" s="4">
        <v>0</v>
      </c>
      <c r="I24" s="4">
        <v>0</v>
      </c>
      <c r="J24" s="69"/>
    </row>
    <row r="25" spans="1:10" ht="24" customHeight="1" x14ac:dyDescent="0.25">
      <c r="A25" s="67"/>
      <c r="B25" s="67"/>
      <c r="C25" s="68"/>
      <c r="D25" s="68"/>
      <c r="E25" s="12" t="s">
        <v>11</v>
      </c>
      <c r="F25" s="3" t="s">
        <v>9</v>
      </c>
      <c r="G25" s="4">
        <v>495570.63</v>
      </c>
      <c r="H25" s="4">
        <v>0</v>
      </c>
      <c r="I25" s="4">
        <v>0</v>
      </c>
      <c r="J25" s="69"/>
    </row>
    <row r="26" spans="1:10" ht="45" customHeight="1" x14ac:dyDescent="0.25">
      <c r="A26" s="67"/>
      <c r="B26" s="67"/>
      <c r="C26" s="68"/>
      <c r="D26" s="68"/>
      <c r="E26" s="12" t="s">
        <v>139</v>
      </c>
      <c r="F26" s="3" t="s">
        <v>9</v>
      </c>
      <c r="G26" s="4">
        <v>165190.21</v>
      </c>
      <c r="H26" s="4">
        <v>0</v>
      </c>
      <c r="I26" s="4">
        <v>0</v>
      </c>
      <c r="J26" s="69"/>
    </row>
    <row r="27" spans="1:10" ht="25.5" customHeight="1" x14ac:dyDescent="0.25">
      <c r="A27" s="67" t="s">
        <v>142</v>
      </c>
      <c r="B27" s="67" t="s">
        <v>143</v>
      </c>
      <c r="C27" s="68">
        <v>45292</v>
      </c>
      <c r="D27" s="68">
        <v>45657</v>
      </c>
      <c r="E27" s="12" t="s">
        <v>6</v>
      </c>
      <c r="F27" s="3" t="s">
        <v>144</v>
      </c>
      <c r="G27" s="4">
        <f>SUM(G28:G31)</f>
        <v>547789.06000000006</v>
      </c>
      <c r="H27" s="4">
        <f t="shared" ref="H27:I27" si="1">SUM(H28:H31)</f>
        <v>0</v>
      </c>
      <c r="I27" s="4">
        <f t="shared" si="1"/>
        <v>0</v>
      </c>
      <c r="J27" s="69" t="s">
        <v>114</v>
      </c>
    </row>
    <row r="28" spans="1:10" ht="25.5" customHeight="1" x14ac:dyDescent="0.25">
      <c r="A28" s="67"/>
      <c r="B28" s="67"/>
      <c r="C28" s="68"/>
      <c r="D28" s="68"/>
      <c r="E28" s="12" t="s">
        <v>8</v>
      </c>
      <c r="F28" s="3" t="s">
        <v>9</v>
      </c>
      <c r="G28" s="4">
        <v>0</v>
      </c>
      <c r="H28" s="4">
        <v>0</v>
      </c>
      <c r="I28" s="4">
        <v>0</v>
      </c>
      <c r="J28" s="69"/>
    </row>
    <row r="29" spans="1:10" ht="25.5" customHeight="1" x14ac:dyDescent="0.25">
      <c r="A29" s="67"/>
      <c r="B29" s="67"/>
      <c r="C29" s="68"/>
      <c r="D29" s="68"/>
      <c r="E29" s="12" t="s">
        <v>10</v>
      </c>
      <c r="F29" s="3" t="s">
        <v>9</v>
      </c>
      <c r="G29" s="4">
        <f>409164.53-88566.09-19314.46</f>
        <v>301283.98000000004</v>
      </c>
      <c r="H29" s="4">
        <v>0</v>
      </c>
      <c r="I29" s="4">
        <v>0</v>
      </c>
      <c r="J29" s="69"/>
    </row>
    <row r="30" spans="1:10" ht="25.5" customHeight="1" x14ac:dyDescent="0.25">
      <c r="A30" s="67"/>
      <c r="B30" s="67"/>
      <c r="C30" s="68"/>
      <c r="D30" s="68"/>
      <c r="E30" s="12" t="s">
        <v>11</v>
      </c>
      <c r="F30" s="3" t="s">
        <v>9</v>
      </c>
      <c r="G30" s="4">
        <f>223180.65-58843.93</f>
        <v>164336.72</v>
      </c>
      <c r="H30" s="4">
        <v>0</v>
      </c>
      <c r="I30" s="4">
        <v>0</v>
      </c>
      <c r="J30" s="69"/>
    </row>
    <row r="31" spans="1:10" ht="39.75" customHeight="1" x14ac:dyDescent="0.25">
      <c r="A31" s="67"/>
      <c r="B31" s="67"/>
      <c r="C31" s="68"/>
      <c r="D31" s="68"/>
      <c r="E31" s="12" t="s">
        <v>139</v>
      </c>
      <c r="F31" s="3" t="s">
        <v>9</v>
      </c>
      <c r="G31" s="4">
        <f>111590.33-29421.97</f>
        <v>82168.36</v>
      </c>
      <c r="H31" s="4">
        <v>0</v>
      </c>
      <c r="I31" s="4">
        <v>0</v>
      </c>
      <c r="J31" s="69"/>
    </row>
    <row r="32" spans="1:10" x14ac:dyDescent="0.25">
      <c r="A32" s="74" t="s">
        <v>26</v>
      </c>
      <c r="B32" s="74"/>
      <c r="C32" s="74"/>
      <c r="D32" s="74"/>
      <c r="E32" s="74"/>
      <c r="F32" s="74"/>
      <c r="G32" s="74"/>
      <c r="H32" s="74"/>
      <c r="I32" s="74"/>
      <c r="J32" s="74"/>
    </row>
    <row r="33" spans="1:10" ht="33.75" customHeight="1" x14ac:dyDescent="0.25">
      <c r="A33" s="67" t="s">
        <v>101</v>
      </c>
      <c r="B33" s="67" t="s">
        <v>5</v>
      </c>
      <c r="C33" s="68">
        <v>45292</v>
      </c>
      <c r="D33" s="68">
        <v>45657</v>
      </c>
      <c r="E33" s="12" t="s">
        <v>6</v>
      </c>
      <c r="F33" s="3" t="s">
        <v>145</v>
      </c>
      <c r="G33" s="4">
        <f>SUM(G34:G36)</f>
        <v>2264402.1</v>
      </c>
      <c r="H33" s="4">
        <f t="shared" ref="H33:I33" si="2">SUM(H34:H36)</f>
        <v>0</v>
      </c>
      <c r="I33" s="4">
        <f t="shared" si="2"/>
        <v>0</v>
      </c>
      <c r="J33" s="69" t="s">
        <v>88</v>
      </c>
    </row>
    <row r="34" spans="1:10" ht="33.75" customHeight="1" x14ac:dyDescent="0.25">
      <c r="A34" s="67"/>
      <c r="B34" s="67"/>
      <c r="C34" s="68"/>
      <c r="D34" s="68"/>
      <c r="E34" s="12" t="s">
        <v>8</v>
      </c>
      <c r="F34" s="3" t="s">
        <v>9</v>
      </c>
      <c r="G34" s="4">
        <v>2152086.96</v>
      </c>
      <c r="H34" s="4">
        <v>0</v>
      </c>
      <c r="I34" s="4">
        <v>0</v>
      </c>
      <c r="J34" s="69"/>
    </row>
    <row r="35" spans="1:10" ht="33.75" customHeight="1" x14ac:dyDescent="0.25">
      <c r="A35" s="67"/>
      <c r="B35" s="67"/>
      <c r="C35" s="68"/>
      <c r="D35" s="68"/>
      <c r="E35" s="12" t="s">
        <v>10</v>
      </c>
      <c r="F35" s="3" t="s">
        <v>9</v>
      </c>
      <c r="G35" s="4">
        <v>89671.1</v>
      </c>
      <c r="H35" s="4">
        <v>0</v>
      </c>
      <c r="I35" s="4">
        <v>0</v>
      </c>
      <c r="J35" s="69"/>
    </row>
    <row r="36" spans="1:10" ht="33.75" customHeight="1" x14ac:dyDescent="0.25">
      <c r="A36" s="67"/>
      <c r="B36" s="67"/>
      <c r="C36" s="68"/>
      <c r="D36" s="68"/>
      <c r="E36" s="12" t="s">
        <v>11</v>
      </c>
      <c r="F36" s="3" t="s">
        <v>9</v>
      </c>
      <c r="G36" s="4">
        <v>22644.04</v>
      </c>
      <c r="H36" s="4">
        <v>0</v>
      </c>
      <c r="I36" s="4">
        <v>0</v>
      </c>
      <c r="J36" s="69"/>
    </row>
    <row r="37" spans="1:10" x14ac:dyDescent="0.25">
      <c r="A37" s="74" t="s">
        <v>27</v>
      </c>
      <c r="B37" s="74"/>
      <c r="C37" s="74"/>
      <c r="D37" s="74"/>
      <c r="E37" s="74"/>
      <c r="F37" s="74"/>
      <c r="G37" s="74"/>
      <c r="H37" s="74"/>
      <c r="I37" s="74"/>
      <c r="J37" s="74"/>
    </row>
    <row r="38" spans="1:10" ht="19.5" customHeight="1" x14ac:dyDescent="0.25">
      <c r="A38" s="67" t="s">
        <v>103</v>
      </c>
      <c r="B38" s="67" t="s">
        <v>5</v>
      </c>
      <c r="C38" s="68">
        <v>45292</v>
      </c>
      <c r="D38" s="68">
        <v>45657</v>
      </c>
      <c r="E38" s="12" t="s">
        <v>6</v>
      </c>
      <c r="F38" s="3" t="s">
        <v>146</v>
      </c>
      <c r="G38" s="4">
        <f>SUM(G39:G41)</f>
        <v>10728912.640000001</v>
      </c>
      <c r="H38" s="4">
        <f t="shared" ref="H38" si="3">SUM(H39:H41)</f>
        <v>0</v>
      </c>
      <c r="I38" s="4">
        <f t="shared" ref="I38" si="4">SUM(I39:I41)</f>
        <v>0</v>
      </c>
      <c r="J38" s="69" t="s">
        <v>89</v>
      </c>
    </row>
    <row r="39" spans="1:10" ht="24.75" customHeight="1" x14ac:dyDescent="0.25">
      <c r="A39" s="67"/>
      <c r="B39" s="67"/>
      <c r="C39" s="68"/>
      <c r="D39" s="68"/>
      <c r="E39" s="12" t="s">
        <v>8</v>
      </c>
      <c r="F39" s="3" t="s">
        <v>9</v>
      </c>
      <c r="G39" s="13">
        <v>10196751.66</v>
      </c>
      <c r="H39" s="4">
        <v>0</v>
      </c>
      <c r="I39" s="4">
        <v>0</v>
      </c>
      <c r="J39" s="69"/>
    </row>
    <row r="40" spans="1:10" ht="24.75" customHeight="1" x14ac:dyDescent="0.25">
      <c r="A40" s="67"/>
      <c r="B40" s="67"/>
      <c r="C40" s="68"/>
      <c r="D40" s="68"/>
      <c r="E40" s="12" t="s">
        <v>10</v>
      </c>
      <c r="F40" s="3" t="s">
        <v>9</v>
      </c>
      <c r="G40" s="13">
        <v>424871.85000000003</v>
      </c>
      <c r="H40" s="4">
        <v>0</v>
      </c>
      <c r="I40" s="4">
        <v>0</v>
      </c>
      <c r="J40" s="69"/>
    </row>
    <row r="41" spans="1:10" ht="16.5" customHeight="1" x14ac:dyDescent="0.25">
      <c r="A41" s="67"/>
      <c r="B41" s="67"/>
      <c r="C41" s="68"/>
      <c r="D41" s="68"/>
      <c r="E41" s="12" t="s">
        <v>11</v>
      </c>
      <c r="F41" s="3" t="s">
        <v>9</v>
      </c>
      <c r="G41" s="13">
        <v>107289.13000000041</v>
      </c>
      <c r="H41" s="4">
        <v>0</v>
      </c>
      <c r="I41" s="4">
        <v>0</v>
      </c>
      <c r="J41" s="69"/>
    </row>
    <row r="42" spans="1:10" ht="16.5" customHeight="1" x14ac:dyDescent="0.25">
      <c r="A42" s="74" t="s">
        <v>105</v>
      </c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17.25" customHeight="1" x14ac:dyDescent="0.25">
      <c r="A43" s="67" t="s">
        <v>104</v>
      </c>
      <c r="B43" s="67" t="s">
        <v>5</v>
      </c>
      <c r="C43" s="68">
        <v>45292</v>
      </c>
      <c r="D43" s="68">
        <v>46387</v>
      </c>
      <c r="E43" s="12" t="s">
        <v>6</v>
      </c>
      <c r="F43" s="3" t="s">
        <v>147</v>
      </c>
      <c r="G43" s="4">
        <f>SUM(G44:G46)</f>
        <v>4719292.6900000004</v>
      </c>
      <c r="H43" s="4">
        <f t="shared" ref="H43:I43" si="5">SUM(H44:H46)</f>
        <v>4719292.6900000004</v>
      </c>
      <c r="I43" s="4">
        <f t="shared" si="5"/>
        <v>4337979.71</v>
      </c>
      <c r="J43" s="69" t="s">
        <v>106</v>
      </c>
    </row>
    <row r="44" spans="1:10" ht="26.25" customHeight="1" x14ac:dyDescent="0.25">
      <c r="A44" s="67"/>
      <c r="B44" s="67"/>
      <c r="C44" s="68"/>
      <c r="D44" s="68"/>
      <c r="E44" s="12" t="s">
        <v>8</v>
      </c>
      <c r="F44" s="3" t="s">
        <v>9</v>
      </c>
      <c r="G44" s="13">
        <v>4530520.9800000004</v>
      </c>
      <c r="H44" s="13">
        <v>4530520.9800000004</v>
      </c>
      <c r="I44" s="13">
        <v>4164460.52</v>
      </c>
      <c r="J44" s="69"/>
    </row>
    <row r="45" spans="1:10" ht="27.75" customHeight="1" x14ac:dyDescent="0.25">
      <c r="A45" s="67"/>
      <c r="B45" s="67"/>
      <c r="C45" s="68"/>
      <c r="D45" s="68"/>
      <c r="E45" s="12" t="s">
        <v>10</v>
      </c>
      <c r="F45" s="3" t="s">
        <v>9</v>
      </c>
      <c r="G45" s="13">
        <v>188771.71</v>
      </c>
      <c r="H45" s="13">
        <v>188771.71</v>
      </c>
      <c r="I45" s="13">
        <v>173519.19</v>
      </c>
      <c r="J45" s="69"/>
    </row>
    <row r="46" spans="1:10" ht="16.5" customHeight="1" x14ac:dyDescent="0.25">
      <c r="A46" s="67"/>
      <c r="B46" s="67"/>
      <c r="C46" s="68"/>
      <c r="D46" s="68"/>
      <c r="E46" s="12" t="s">
        <v>11</v>
      </c>
      <c r="F46" s="3" t="s">
        <v>9</v>
      </c>
      <c r="G46" s="4">
        <v>0</v>
      </c>
      <c r="H46" s="4">
        <v>0</v>
      </c>
      <c r="I46" s="4">
        <v>0</v>
      </c>
      <c r="J46" s="69"/>
    </row>
    <row r="47" spans="1:10" ht="15.75" customHeight="1" x14ac:dyDescent="0.25">
      <c r="A47" s="74" t="s">
        <v>28</v>
      </c>
      <c r="B47" s="74"/>
      <c r="C47" s="74"/>
      <c r="D47" s="74"/>
      <c r="E47" s="74"/>
      <c r="F47" s="74"/>
      <c r="G47" s="74"/>
      <c r="H47" s="74"/>
      <c r="I47" s="74"/>
      <c r="J47" s="74"/>
    </row>
    <row r="48" spans="1:10" ht="24" customHeight="1" x14ac:dyDescent="0.25">
      <c r="A48" s="86" t="s">
        <v>29</v>
      </c>
      <c r="B48" s="76" t="s">
        <v>57</v>
      </c>
      <c r="C48" s="89">
        <v>45292</v>
      </c>
      <c r="D48" s="89">
        <v>46387</v>
      </c>
      <c r="E48" s="12" t="s">
        <v>6</v>
      </c>
      <c r="F48" s="3" t="s">
        <v>30</v>
      </c>
      <c r="G48" s="4">
        <f>SUM(G49:G51)</f>
        <v>143680260.07000002</v>
      </c>
      <c r="H48" s="4">
        <f t="shared" ref="H48" si="6">SUM(H49:H51)</f>
        <v>136033565</v>
      </c>
      <c r="I48" s="4">
        <f t="shared" ref="I48" si="7">SUM(I49:I51)</f>
        <v>139648690.50999999</v>
      </c>
      <c r="J48" s="76" t="s">
        <v>31</v>
      </c>
    </row>
    <row r="49" spans="1:10" ht="24" customHeight="1" x14ac:dyDescent="0.25">
      <c r="A49" s="87"/>
      <c r="B49" s="92"/>
      <c r="C49" s="90"/>
      <c r="D49" s="90"/>
      <c r="E49" s="12" t="s">
        <v>8</v>
      </c>
      <c r="F49" s="3" t="s">
        <v>9</v>
      </c>
      <c r="G49" s="4">
        <v>0</v>
      </c>
      <c r="H49" s="4">
        <v>0</v>
      </c>
      <c r="I49" s="4">
        <v>0</v>
      </c>
      <c r="J49" s="92"/>
    </row>
    <row r="50" spans="1:10" ht="24" customHeight="1" x14ac:dyDescent="0.25">
      <c r="A50" s="87"/>
      <c r="B50" s="92"/>
      <c r="C50" s="90"/>
      <c r="D50" s="90"/>
      <c r="E50" s="42" t="s">
        <v>10</v>
      </c>
      <c r="F50" s="41" t="s">
        <v>9</v>
      </c>
      <c r="G50" s="43">
        <v>0</v>
      </c>
      <c r="H50" s="43">
        <v>0</v>
      </c>
      <c r="I50" s="43">
        <v>0</v>
      </c>
      <c r="J50" s="92"/>
    </row>
    <row r="51" spans="1:10" ht="24" customHeight="1" x14ac:dyDescent="0.25">
      <c r="A51" s="87"/>
      <c r="B51" s="92"/>
      <c r="C51" s="90"/>
      <c r="D51" s="93"/>
      <c r="E51" s="42" t="s">
        <v>240</v>
      </c>
      <c r="F51" s="76" t="s">
        <v>9</v>
      </c>
      <c r="G51" s="43">
        <f>133180300-425000+8958827.99-1598192.33-69000+665000+1598192.33+9770+29390+71805+10327.08-2191145.3+1100000-1107000+2473145.3+195000+14000+80000+80000+386140+61500+79600+28200+49400</f>
        <v>143680260.07000002</v>
      </c>
      <c r="H51" s="43">
        <f>137149315-1115750</f>
        <v>136033565</v>
      </c>
      <c r="I51" s="43">
        <f>140853700.51-1205010</f>
        <v>139648690.50999999</v>
      </c>
      <c r="J51" s="95"/>
    </row>
    <row r="52" spans="1:10" ht="51" customHeight="1" x14ac:dyDescent="0.25">
      <c r="A52" s="88"/>
      <c r="B52" s="77"/>
      <c r="C52" s="91"/>
      <c r="D52" s="94"/>
      <c r="E52" s="44" t="s">
        <v>239</v>
      </c>
      <c r="F52" s="77"/>
      <c r="G52" s="45">
        <v>4356716.9400000004</v>
      </c>
      <c r="H52" s="45">
        <v>0</v>
      </c>
      <c r="I52" s="45">
        <v>0</v>
      </c>
      <c r="J52" s="96"/>
    </row>
    <row r="53" spans="1:10" ht="59.25" customHeight="1" x14ac:dyDescent="0.25">
      <c r="A53" s="69" t="s">
        <v>32</v>
      </c>
      <c r="B53" s="67" t="s">
        <v>57</v>
      </c>
      <c r="C53" s="89">
        <v>45292</v>
      </c>
      <c r="D53" s="89">
        <v>46387</v>
      </c>
      <c r="E53" s="12" t="s">
        <v>6</v>
      </c>
      <c r="F53" s="3" t="s">
        <v>43</v>
      </c>
      <c r="G53" s="4">
        <f>SUM(G54:G56)</f>
        <v>476371915.56999999</v>
      </c>
      <c r="H53" s="4">
        <f t="shared" ref="H53" si="8">SUM(H54:H56)</f>
        <v>394064933.10000002</v>
      </c>
      <c r="I53" s="4">
        <f t="shared" ref="I53" si="9">SUM(I54:I56)</f>
        <v>409138778.98000002</v>
      </c>
      <c r="J53" s="69" t="s">
        <v>90</v>
      </c>
    </row>
    <row r="54" spans="1:10" ht="59.25" customHeight="1" x14ac:dyDescent="0.25">
      <c r="A54" s="69"/>
      <c r="B54" s="67"/>
      <c r="C54" s="90"/>
      <c r="D54" s="90"/>
      <c r="E54" s="12" t="s">
        <v>8</v>
      </c>
      <c r="F54" s="3" t="s">
        <v>9</v>
      </c>
      <c r="G54" s="4">
        <v>0</v>
      </c>
      <c r="H54" s="4">
        <v>0</v>
      </c>
      <c r="I54" s="4">
        <v>0</v>
      </c>
      <c r="J54" s="69"/>
    </row>
    <row r="55" spans="1:10" ht="59.25" customHeight="1" x14ac:dyDescent="0.25">
      <c r="A55" s="69"/>
      <c r="B55" s="67"/>
      <c r="C55" s="90"/>
      <c r="D55" s="90"/>
      <c r="E55" s="12" t="s">
        <v>10</v>
      </c>
      <c r="F55" s="3" t="s">
        <v>9</v>
      </c>
      <c r="G55" s="4">
        <f>368789343.2+56385389.33+51197183.04</f>
        <v>476371915.56999999</v>
      </c>
      <c r="H55" s="4">
        <v>394064933.10000002</v>
      </c>
      <c r="I55" s="4">
        <v>409138778.98000002</v>
      </c>
      <c r="J55" s="69"/>
    </row>
    <row r="56" spans="1:10" ht="59.25" customHeight="1" x14ac:dyDescent="0.25">
      <c r="A56" s="69"/>
      <c r="B56" s="67"/>
      <c r="C56" s="91"/>
      <c r="D56" s="91"/>
      <c r="E56" s="12" t="s">
        <v>11</v>
      </c>
      <c r="F56" s="3" t="s">
        <v>9</v>
      </c>
      <c r="G56" s="4">
        <v>0</v>
      </c>
      <c r="H56" s="4">
        <v>0</v>
      </c>
      <c r="I56" s="4">
        <v>0</v>
      </c>
      <c r="J56" s="69"/>
    </row>
    <row r="57" spans="1:10" ht="28.5" customHeight="1" x14ac:dyDescent="0.25">
      <c r="A57" s="69" t="s">
        <v>262</v>
      </c>
      <c r="B57" s="69" t="s">
        <v>58</v>
      </c>
      <c r="C57" s="68">
        <v>45292</v>
      </c>
      <c r="D57" s="68">
        <v>46387</v>
      </c>
      <c r="E57" s="12" t="s">
        <v>6</v>
      </c>
      <c r="F57" s="3" t="s">
        <v>33</v>
      </c>
      <c r="G57" s="4">
        <f>SUM(G58:G60)</f>
        <v>18229107.16</v>
      </c>
      <c r="H57" s="4">
        <f t="shared" ref="H57:I57" si="10">SUM(H58:H60)</f>
        <v>2045275</v>
      </c>
      <c r="I57" s="4">
        <f t="shared" si="10"/>
        <v>2170556.25</v>
      </c>
      <c r="J57" s="69" t="s">
        <v>111</v>
      </c>
    </row>
    <row r="58" spans="1:10" ht="28.5" customHeight="1" x14ac:dyDescent="0.25">
      <c r="A58" s="69"/>
      <c r="B58" s="69"/>
      <c r="C58" s="68"/>
      <c r="D58" s="68"/>
      <c r="E58" s="12" t="s">
        <v>8</v>
      </c>
      <c r="F58" s="3" t="s">
        <v>9</v>
      </c>
      <c r="G58" s="4">
        <v>0</v>
      </c>
      <c r="H58" s="4">
        <v>0</v>
      </c>
      <c r="I58" s="4">
        <v>0</v>
      </c>
      <c r="J58" s="69"/>
    </row>
    <row r="59" spans="1:10" ht="28.5" customHeight="1" x14ac:dyDescent="0.25">
      <c r="A59" s="69"/>
      <c r="B59" s="69"/>
      <c r="C59" s="68"/>
      <c r="D59" s="68"/>
      <c r="E59" s="12" t="s">
        <v>10</v>
      </c>
      <c r="F59" s="3" t="s">
        <v>9</v>
      </c>
      <c r="G59" s="4">
        <v>0</v>
      </c>
      <c r="H59" s="4">
        <v>0</v>
      </c>
      <c r="I59" s="4">
        <v>0</v>
      </c>
      <c r="J59" s="69"/>
    </row>
    <row r="60" spans="1:10" ht="28.5" customHeight="1" x14ac:dyDescent="0.25">
      <c r="A60" s="69"/>
      <c r="B60" s="69"/>
      <c r="C60" s="68"/>
      <c r="D60" s="68"/>
      <c r="E60" s="12" t="s">
        <v>11</v>
      </c>
      <c r="F60" s="3" t="s">
        <v>9</v>
      </c>
      <c r="G60" s="4">
        <f>3504862.15+425000+3566091.88+300000+69000+6448260.67-152357.78+3368250.24+700000</f>
        <v>18229107.16</v>
      </c>
      <c r="H60" s="4">
        <f>929525+1115750</f>
        <v>2045275</v>
      </c>
      <c r="I60" s="4">
        <f>965546.25+1205010</f>
        <v>2170556.25</v>
      </c>
      <c r="J60" s="69"/>
    </row>
    <row r="61" spans="1:10" ht="33.75" customHeight="1" x14ac:dyDescent="0.25">
      <c r="A61" s="70" t="s">
        <v>296</v>
      </c>
      <c r="B61" s="70" t="s">
        <v>179</v>
      </c>
      <c r="C61" s="71">
        <v>45292</v>
      </c>
      <c r="D61" s="71">
        <v>45657</v>
      </c>
      <c r="E61" s="25" t="s">
        <v>6</v>
      </c>
      <c r="F61" s="26" t="s">
        <v>33</v>
      </c>
      <c r="G61" s="27">
        <f>SUM(G62:G64)</f>
        <v>1896793.0499999998</v>
      </c>
      <c r="H61" s="27">
        <f t="shared" ref="H61:I61" si="11">SUM(H62:H64)</f>
        <v>0</v>
      </c>
      <c r="I61" s="27">
        <f t="shared" si="11"/>
        <v>0</v>
      </c>
      <c r="J61" s="69" t="s">
        <v>191</v>
      </c>
    </row>
    <row r="62" spans="1:10" ht="33.75" customHeight="1" x14ac:dyDescent="0.25">
      <c r="A62" s="70"/>
      <c r="B62" s="70"/>
      <c r="C62" s="71"/>
      <c r="D62" s="71"/>
      <c r="E62" s="25" t="s">
        <v>8</v>
      </c>
      <c r="F62" s="26" t="s">
        <v>9</v>
      </c>
      <c r="G62" s="27">
        <v>0</v>
      </c>
      <c r="H62" s="27">
        <v>0</v>
      </c>
      <c r="I62" s="27">
        <v>0</v>
      </c>
      <c r="J62" s="69"/>
    </row>
    <row r="63" spans="1:10" ht="33.75" customHeight="1" x14ac:dyDescent="0.25">
      <c r="A63" s="70"/>
      <c r="B63" s="70"/>
      <c r="C63" s="71"/>
      <c r="D63" s="71"/>
      <c r="E63" s="25" t="s">
        <v>10</v>
      </c>
      <c r="F63" s="26" t="s">
        <v>9</v>
      </c>
      <c r="G63" s="27">
        <v>0</v>
      </c>
      <c r="H63" s="27">
        <v>0</v>
      </c>
      <c r="I63" s="27">
        <v>0</v>
      </c>
      <c r="J63" s="69"/>
    </row>
    <row r="64" spans="1:10" ht="33.75" customHeight="1" x14ac:dyDescent="0.25">
      <c r="A64" s="70"/>
      <c r="B64" s="70"/>
      <c r="C64" s="71"/>
      <c r="D64" s="71"/>
      <c r="E64" s="25" t="s">
        <v>11</v>
      </c>
      <c r="F64" s="26" t="s">
        <v>9</v>
      </c>
      <c r="G64" s="27">
        <f>1131682.17+128500.88+460000+176610</f>
        <v>1896793.0499999998</v>
      </c>
      <c r="H64" s="27">
        <v>0</v>
      </c>
      <c r="I64" s="27">
        <v>0</v>
      </c>
      <c r="J64" s="69"/>
    </row>
    <row r="65" spans="1:10" ht="27" customHeight="1" x14ac:dyDescent="0.25">
      <c r="A65" s="69" t="s">
        <v>297</v>
      </c>
      <c r="B65" s="69" t="s">
        <v>129</v>
      </c>
      <c r="C65" s="68">
        <v>46023</v>
      </c>
      <c r="D65" s="68">
        <v>46387</v>
      </c>
      <c r="E65" s="12" t="s">
        <v>6</v>
      </c>
      <c r="F65" s="3" t="s">
        <v>33</v>
      </c>
      <c r="G65" s="4">
        <f>SUM(G66:G68)</f>
        <v>942225.9</v>
      </c>
      <c r="H65" s="4">
        <f t="shared" ref="H65:I65" si="12">SUM(H66:H68)</f>
        <v>0</v>
      </c>
      <c r="I65" s="4">
        <f t="shared" si="12"/>
        <v>2000000</v>
      </c>
      <c r="J65" s="69" t="s">
        <v>148</v>
      </c>
    </row>
    <row r="66" spans="1:10" ht="27" customHeight="1" x14ac:dyDescent="0.25">
      <c r="A66" s="69"/>
      <c r="B66" s="69"/>
      <c r="C66" s="68"/>
      <c r="D66" s="68"/>
      <c r="E66" s="12" t="s">
        <v>8</v>
      </c>
      <c r="F66" s="3" t="s">
        <v>9</v>
      </c>
      <c r="G66" s="4">
        <v>0</v>
      </c>
      <c r="H66" s="4">
        <v>0</v>
      </c>
      <c r="I66" s="4">
        <v>0</v>
      </c>
      <c r="J66" s="69"/>
    </row>
    <row r="67" spans="1:10" ht="27" customHeight="1" x14ac:dyDescent="0.25">
      <c r="A67" s="69"/>
      <c r="B67" s="69"/>
      <c r="C67" s="68"/>
      <c r="D67" s="68"/>
      <c r="E67" s="12" t="s">
        <v>10</v>
      </c>
      <c r="F67" s="3" t="s">
        <v>9</v>
      </c>
      <c r="G67" s="4">
        <v>0</v>
      </c>
      <c r="H67" s="4">
        <v>0</v>
      </c>
      <c r="I67" s="4">
        <v>0</v>
      </c>
      <c r="J67" s="69"/>
    </row>
    <row r="68" spans="1:10" ht="27" customHeight="1" x14ac:dyDescent="0.25">
      <c r="A68" s="69"/>
      <c r="B68" s="69"/>
      <c r="C68" s="68"/>
      <c r="D68" s="68"/>
      <c r="E68" s="12" t="s">
        <v>11</v>
      </c>
      <c r="F68" s="3" t="s">
        <v>9</v>
      </c>
      <c r="G68" s="4">
        <f>460225.9+285000+197000</f>
        <v>942225.9</v>
      </c>
      <c r="H68" s="4">
        <v>0</v>
      </c>
      <c r="I68" s="4">
        <v>2000000</v>
      </c>
      <c r="J68" s="69"/>
    </row>
    <row r="69" spans="1:10" ht="27" customHeight="1" x14ac:dyDescent="0.25">
      <c r="A69" s="70" t="s">
        <v>196</v>
      </c>
      <c r="B69" s="70" t="s">
        <v>190</v>
      </c>
      <c r="C69" s="71">
        <v>45292</v>
      </c>
      <c r="D69" s="71">
        <v>45657</v>
      </c>
      <c r="E69" s="33" t="s">
        <v>6</v>
      </c>
      <c r="F69" s="26" t="s">
        <v>33</v>
      </c>
      <c r="G69" s="27">
        <f>SUM(G70:G72)</f>
        <v>95746.31</v>
      </c>
      <c r="H69" s="27">
        <f t="shared" ref="H69:I69" si="13">SUM(H70:H72)</f>
        <v>0</v>
      </c>
      <c r="I69" s="27">
        <f t="shared" si="13"/>
        <v>0</v>
      </c>
      <c r="J69" s="69" t="s">
        <v>191</v>
      </c>
    </row>
    <row r="70" spans="1:10" ht="27" customHeight="1" x14ac:dyDescent="0.25">
      <c r="A70" s="70"/>
      <c r="B70" s="70"/>
      <c r="C70" s="71"/>
      <c r="D70" s="71"/>
      <c r="E70" s="33" t="s">
        <v>8</v>
      </c>
      <c r="F70" s="26" t="s">
        <v>9</v>
      </c>
      <c r="G70" s="27">
        <v>0</v>
      </c>
      <c r="H70" s="27">
        <v>0</v>
      </c>
      <c r="I70" s="27">
        <v>0</v>
      </c>
      <c r="J70" s="69"/>
    </row>
    <row r="71" spans="1:10" ht="27" customHeight="1" x14ac:dyDescent="0.25">
      <c r="A71" s="70"/>
      <c r="B71" s="70"/>
      <c r="C71" s="71"/>
      <c r="D71" s="71"/>
      <c r="E71" s="33" t="s">
        <v>10</v>
      </c>
      <c r="F71" s="26" t="s">
        <v>9</v>
      </c>
      <c r="G71" s="27">
        <v>0</v>
      </c>
      <c r="H71" s="27">
        <v>0</v>
      </c>
      <c r="I71" s="27">
        <v>0</v>
      </c>
      <c r="J71" s="69"/>
    </row>
    <row r="72" spans="1:10" ht="27" customHeight="1" x14ac:dyDescent="0.25">
      <c r="A72" s="70"/>
      <c r="B72" s="70"/>
      <c r="C72" s="71"/>
      <c r="D72" s="71"/>
      <c r="E72" s="33" t="s">
        <v>11</v>
      </c>
      <c r="F72" s="26" t="s">
        <v>9</v>
      </c>
      <c r="G72" s="27">
        <v>95746.31</v>
      </c>
      <c r="H72" s="27">
        <v>0</v>
      </c>
      <c r="I72" s="27">
        <v>0</v>
      </c>
      <c r="J72" s="69"/>
    </row>
    <row r="73" spans="1:10" ht="27" customHeight="1" x14ac:dyDescent="0.25">
      <c r="A73" s="70" t="s">
        <v>195</v>
      </c>
      <c r="B73" s="70" t="s">
        <v>192</v>
      </c>
      <c r="C73" s="71">
        <v>45292</v>
      </c>
      <c r="D73" s="71">
        <v>45657</v>
      </c>
      <c r="E73" s="33" t="s">
        <v>6</v>
      </c>
      <c r="F73" s="26" t="s">
        <v>33</v>
      </c>
      <c r="G73" s="27">
        <f>SUM(G74:G76)</f>
        <v>104796.43</v>
      </c>
      <c r="H73" s="27">
        <f t="shared" ref="H73:I73" si="14">SUM(H74:H76)</f>
        <v>0</v>
      </c>
      <c r="I73" s="27">
        <f t="shared" si="14"/>
        <v>0</v>
      </c>
      <c r="J73" s="69" t="s">
        <v>191</v>
      </c>
    </row>
    <row r="74" spans="1:10" ht="27" customHeight="1" x14ac:dyDescent="0.25">
      <c r="A74" s="70"/>
      <c r="B74" s="70"/>
      <c r="C74" s="71"/>
      <c r="D74" s="71"/>
      <c r="E74" s="33" t="s">
        <v>8</v>
      </c>
      <c r="F74" s="26" t="s">
        <v>9</v>
      </c>
      <c r="G74" s="27">
        <v>0</v>
      </c>
      <c r="H74" s="27">
        <v>0</v>
      </c>
      <c r="I74" s="27">
        <v>0</v>
      </c>
      <c r="J74" s="69"/>
    </row>
    <row r="75" spans="1:10" ht="27" customHeight="1" x14ac:dyDescent="0.25">
      <c r="A75" s="70"/>
      <c r="B75" s="70"/>
      <c r="C75" s="71"/>
      <c r="D75" s="71"/>
      <c r="E75" s="33" t="s">
        <v>10</v>
      </c>
      <c r="F75" s="26" t="s">
        <v>9</v>
      </c>
      <c r="G75" s="27">
        <v>0</v>
      </c>
      <c r="H75" s="27">
        <v>0</v>
      </c>
      <c r="I75" s="27">
        <v>0</v>
      </c>
      <c r="J75" s="69"/>
    </row>
    <row r="76" spans="1:10" ht="27" customHeight="1" x14ac:dyDescent="0.25">
      <c r="A76" s="70"/>
      <c r="B76" s="70"/>
      <c r="C76" s="71"/>
      <c r="D76" s="71"/>
      <c r="E76" s="33" t="s">
        <v>11</v>
      </c>
      <c r="F76" s="26" t="s">
        <v>9</v>
      </c>
      <c r="G76" s="27">
        <v>104796.43</v>
      </c>
      <c r="H76" s="27">
        <v>0</v>
      </c>
      <c r="I76" s="27">
        <v>0</v>
      </c>
      <c r="J76" s="69"/>
    </row>
    <row r="77" spans="1:10" ht="29.25" customHeight="1" x14ac:dyDescent="0.25">
      <c r="A77" s="69" t="s">
        <v>263</v>
      </c>
      <c r="B77" s="70" t="s">
        <v>180</v>
      </c>
      <c r="C77" s="71">
        <v>45292</v>
      </c>
      <c r="D77" s="71">
        <v>45657</v>
      </c>
      <c r="E77" s="25" t="s">
        <v>6</v>
      </c>
      <c r="F77" s="26" t="s">
        <v>33</v>
      </c>
      <c r="G77" s="27">
        <f>SUM(G78:G80)</f>
        <v>2003701.8</v>
      </c>
      <c r="H77" s="27">
        <f t="shared" ref="H77:I77" si="15">SUM(H78:H80)</f>
        <v>0</v>
      </c>
      <c r="I77" s="27">
        <f t="shared" si="15"/>
        <v>0</v>
      </c>
      <c r="J77" s="69" t="s">
        <v>191</v>
      </c>
    </row>
    <row r="78" spans="1:10" ht="29.25" customHeight="1" x14ac:dyDescent="0.25">
      <c r="A78" s="69"/>
      <c r="B78" s="70"/>
      <c r="C78" s="71"/>
      <c r="D78" s="71"/>
      <c r="E78" s="25" t="s">
        <v>8</v>
      </c>
      <c r="F78" s="26" t="s">
        <v>9</v>
      </c>
      <c r="G78" s="27">
        <v>0</v>
      </c>
      <c r="H78" s="27">
        <v>0</v>
      </c>
      <c r="I78" s="27">
        <v>0</v>
      </c>
      <c r="J78" s="69"/>
    </row>
    <row r="79" spans="1:10" ht="29.25" customHeight="1" x14ac:dyDescent="0.25">
      <c r="A79" s="69"/>
      <c r="B79" s="70"/>
      <c r="C79" s="71"/>
      <c r="D79" s="71"/>
      <c r="E79" s="25" t="s">
        <v>10</v>
      </c>
      <c r="F79" s="26" t="s">
        <v>9</v>
      </c>
      <c r="G79" s="27">
        <v>0</v>
      </c>
      <c r="H79" s="27">
        <v>0</v>
      </c>
      <c r="I79" s="27">
        <v>0</v>
      </c>
      <c r="J79" s="69"/>
    </row>
    <row r="80" spans="1:10" ht="29.25" customHeight="1" x14ac:dyDescent="0.25">
      <c r="A80" s="69"/>
      <c r="B80" s="70"/>
      <c r="C80" s="71"/>
      <c r="D80" s="71"/>
      <c r="E80" s="25" t="s">
        <v>11</v>
      </c>
      <c r="F80" s="26" t="s">
        <v>9</v>
      </c>
      <c r="G80" s="27">
        <f>350000+106336.98+133627.12+645850+367887.7+400000</f>
        <v>2003701.8</v>
      </c>
      <c r="H80" s="27">
        <v>0</v>
      </c>
      <c r="I80" s="27">
        <v>0</v>
      </c>
      <c r="J80" s="69"/>
    </row>
    <row r="81" spans="1:10" ht="22.5" customHeight="1" x14ac:dyDescent="0.25">
      <c r="A81" s="69" t="s">
        <v>264</v>
      </c>
      <c r="B81" s="70" t="s">
        <v>265</v>
      </c>
      <c r="C81" s="71">
        <v>45292</v>
      </c>
      <c r="D81" s="71">
        <v>45657</v>
      </c>
      <c r="E81" s="56" t="s">
        <v>6</v>
      </c>
      <c r="F81" s="26" t="s">
        <v>33</v>
      </c>
      <c r="G81" s="27">
        <f>SUM(G82:G84)</f>
        <v>80000</v>
      </c>
      <c r="H81" s="27">
        <f t="shared" ref="H81:I81" si="16">SUM(H82:H84)</f>
        <v>0</v>
      </c>
      <c r="I81" s="27">
        <f t="shared" si="16"/>
        <v>0</v>
      </c>
      <c r="J81" s="69" t="s">
        <v>191</v>
      </c>
    </row>
    <row r="82" spans="1:10" ht="29.25" customHeight="1" x14ac:dyDescent="0.25">
      <c r="A82" s="69"/>
      <c r="B82" s="70"/>
      <c r="C82" s="71"/>
      <c r="D82" s="71"/>
      <c r="E82" s="56" t="s">
        <v>8</v>
      </c>
      <c r="F82" s="26" t="s">
        <v>9</v>
      </c>
      <c r="G82" s="27">
        <v>0</v>
      </c>
      <c r="H82" s="27">
        <v>0</v>
      </c>
      <c r="I82" s="27">
        <v>0</v>
      </c>
      <c r="J82" s="69"/>
    </row>
    <row r="83" spans="1:10" ht="29.25" customHeight="1" x14ac:dyDescent="0.25">
      <c r="A83" s="69"/>
      <c r="B83" s="70"/>
      <c r="C83" s="71"/>
      <c r="D83" s="71"/>
      <c r="E83" s="56" t="s">
        <v>10</v>
      </c>
      <c r="F83" s="26" t="s">
        <v>9</v>
      </c>
      <c r="G83" s="27">
        <v>0</v>
      </c>
      <c r="H83" s="27">
        <v>0</v>
      </c>
      <c r="I83" s="27">
        <v>0</v>
      </c>
      <c r="J83" s="69"/>
    </row>
    <row r="84" spans="1:10" ht="19.5" customHeight="1" x14ac:dyDescent="0.25">
      <c r="A84" s="69"/>
      <c r="B84" s="70"/>
      <c r="C84" s="71"/>
      <c r="D84" s="71"/>
      <c r="E84" s="56" t="s">
        <v>11</v>
      </c>
      <c r="F84" s="26" t="s">
        <v>9</v>
      </c>
      <c r="G84" s="27">
        <v>80000</v>
      </c>
      <c r="H84" s="27">
        <v>0</v>
      </c>
      <c r="I84" s="27">
        <v>0</v>
      </c>
      <c r="J84" s="69"/>
    </row>
    <row r="85" spans="1:10" ht="30.75" customHeight="1" x14ac:dyDescent="0.25">
      <c r="A85" s="69" t="s">
        <v>266</v>
      </c>
      <c r="B85" s="70" t="s">
        <v>193</v>
      </c>
      <c r="C85" s="71">
        <v>45292</v>
      </c>
      <c r="D85" s="71">
        <v>45657</v>
      </c>
      <c r="E85" s="33" t="s">
        <v>6</v>
      </c>
      <c r="F85" s="26" t="s">
        <v>33</v>
      </c>
      <c r="G85" s="27">
        <f>SUM(G86:G88)</f>
        <v>2294617.7799999998</v>
      </c>
      <c r="H85" s="27">
        <f t="shared" ref="H85:I85" si="17">SUM(H86:H88)</f>
        <v>0</v>
      </c>
      <c r="I85" s="27">
        <f t="shared" si="17"/>
        <v>0</v>
      </c>
      <c r="J85" s="69" t="s">
        <v>191</v>
      </c>
    </row>
    <row r="86" spans="1:10" ht="29.25" customHeight="1" x14ac:dyDescent="0.25">
      <c r="A86" s="69"/>
      <c r="B86" s="70"/>
      <c r="C86" s="71"/>
      <c r="D86" s="71"/>
      <c r="E86" s="33" t="s">
        <v>8</v>
      </c>
      <c r="F86" s="26" t="s">
        <v>9</v>
      </c>
      <c r="G86" s="27">
        <v>0</v>
      </c>
      <c r="H86" s="27">
        <v>0</v>
      </c>
      <c r="I86" s="27">
        <v>0</v>
      </c>
      <c r="J86" s="69"/>
    </row>
    <row r="87" spans="1:10" ht="28.5" customHeight="1" x14ac:dyDescent="0.25">
      <c r="A87" s="69"/>
      <c r="B87" s="70"/>
      <c r="C87" s="71"/>
      <c r="D87" s="71"/>
      <c r="E87" s="33" t="s">
        <v>10</v>
      </c>
      <c r="F87" s="26" t="s">
        <v>9</v>
      </c>
      <c r="G87" s="27">
        <v>0</v>
      </c>
      <c r="H87" s="27">
        <v>0</v>
      </c>
      <c r="I87" s="27">
        <v>0</v>
      </c>
      <c r="J87" s="69"/>
    </row>
    <row r="88" spans="1:10" ht="30" customHeight="1" x14ac:dyDescent="0.25">
      <c r="A88" s="69"/>
      <c r="B88" s="70"/>
      <c r="C88" s="71"/>
      <c r="D88" s="71"/>
      <c r="E88" s="33" t="s">
        <v>11</v>
      </c>
      <c r="F88" s="26" t="s">
        <v>9</v>
      </c>
      <c r="G88" s="27">
        <f>1349716.2+196973.5+99400+150000+498528.08</f>
        <v>2294617.7799999998</v>
      </c>
      <c r="H88" s="27">
        <v>0</v>
      </c>
      <c r="I88" s="27">
        <v>0</v>
      </c>
      <c r="J88" s="69"/>
    </row>
    <row r="89" spans="1:10" ht="27" customHeight="1" x14ac:dyDescent="0.25">
      <c r="A89" s="69" t="s">
        <v>270</v>
      </c>
      <c r="B89" s="70" t="s">
        <v>194</v>
      </c>
      <c r="C89" s="71">
        <v>45292</v>
      </c>
      <c r="D89" s="71">
        <v>45657</v>
      </c>
      <c r="E89" s="33" t="s">
        <v>6</v>
      </c>
      <c r="F89" s="26" t="s">
        <v>33</v>
      </c>
      <c r="G89" s="27">
        <f>SUM(G90:G92)</f>
        <v>4811591.93</v>
      </c>
      <c r="H89" s="27">
        <f t="shared" ref="H89:I89" si="18">SUM(H90:H92)</f>
        <v>0</v>
      </c>
      <c r="I89" s="27">
        <f t="shared" si="18"/>
        <v>0</v>
      </c>
      <c r="J89" s="69" t="s">
        <v>191</v>
      </c>
    </row>
    <row r="90" spans="1:10" ht="27" customHeight="1" x14ac:dyDescent="0.25">
      <c r="A90" s="69"/>
      <c r="B90" s="70"/>
      <c r="C90" s="71"/>
      <c r="D90" s="71"/>
      <c r="E90" s="33" t="s">
        <v>8</v>
      </c>
      <c r="F90" s="26" t="s">
        <v>9</v>
      </c>
      <c r="G90" s="27">
        <v>0</v>
      </c>
      <c r="H90" s="27">
        <v>0</v>
      </c>
      <c r="I90" s="27">
        <v>0</v>
      </c>
      <c r="J90" s="69"/>
    </row>
    <row r="91" spans="1:10" ht="27" customHeight="1" x14ac:dyDescent="0.25">
      <c r="A91" s="69"/>
      <c r="B91" s="70"/>
      <c r="C91" s="71"/>
      <c r="D91" s="71"/>
      <c r="E91" s="33" t="s">
        <v>10</v>
      </c>
      <c r="F91" s="26" t="s">
        <v>9</v>
      </c>
      <c r="G91" s="27">
        <v>0</v>
      </c>
      <c r="H91" s="27">
        <v>0</v>
      </c>
      <c r="I91" s="27">
        <v>0</v>
      </c>
      <c r="J91" s="69"/>
    </row>
    <row r="92" spans="1:10" ht="27" customHeight="1" x14ac:dyDescent="0.25">
      <c r="A92" s="69"/>
      <c r="B92" s="70"/>
      <c r="C92" s="71"/>
      <c r="D92" s="71"/>
      <c r="E92" s="33" t="s">
        <v>11</v>
      </c>
      <c r="F92" s="26" t="s">
        <v>9</v>
      </c>
      <c r="G92" s="27">
        <f>2626687.55+181908.44+457000+8000+500000+325602.42+712393.52</f>
        <v>4811591.93</v>
      </c>
      <c r="H92" s="27">
        <v>0</v>
      </c>
      <c r="I92" s="27">
        <v>0</v>
      </c>
      <c r="J92" s="69"/>
    </row>
    <row r="93" spans="1:10" ht="27" customHeight="1" x14ac:dyDescent="0.25">
      <c r="A93" s="69" t="s">
        <v>267</v>
      </c>
      <c r="B93" s="69" t="s">
        <v>197</v>
      </c>
      <c r="C93" s="68">
        <v>46023</v>
      </c>
      <c r="D93" s="68">
        <v>46387</v>
      </c>
      <c r="E93" s="34" t="s">
        <v>6</v>
      </c>
      <c r="F93" s="35" t="s">
        <v>33</v>
      </c>
      <c r="G93" s="4">
        <f>SUM(G94:G96)</f>
        <v>792651.2</v>
      </c>
      <c r="H93" s="4">
        <f t="shared" ref="H93" si="19">SUM(H94:H96)</f>
        <v>0</v>
      </c>
      <c r="I93" s="4">
        <v>0</v>
      </c>
      <c r="J93" s="69" t="s">
        <v>191</v>
      </c>
    </row>
    <row r="94" spans="1:10" ht="27" customHeight="1" x14ac:dyDescent="0.25">
      <c r="A94" s="69"/>
      <c r="B94" s="69"/>
      <c r="C94" s="68"/>
      <c r="D94" s="68"/>
      <c r="E94" s="34" t="s">
        <v>8</v>
      </c>
      <c r="F94" s="35" t="s">
        <v>9</v>
      </c>
      <c r="G94" s="4">
        <v>0</v>
      </c>
      <c r="H94" s="4">
        <v>0</v>
      </c>
      <c r="I94" s="4">
        <v>0</v>
      </c>
      <c r="J94" s="69"/>
    </row>
    <row r="95" spans="1:10" ht="27" customHeight="1" x14ac:dyDescent="0.25">
      <c r="A95" s="69"/>
      <c r="B95" s="69"/>
      <c r="C95" s="68"/>
      <c r="D95" s="68"/>
      <c r="E95" s="34" t="s">
        <v>10</v>
      </c>
      <c r="F95" s="35" t="s">
        <v>9</v>
      </c>
      <c r="G95" s="4">
        <v>0</v>
      </c>
      <c r="H95" s="4">
        <v>0</v>
      </c>
      <c r="I95" s="4">
        <v>0</v>
      </c>
      <c r="J95" s="69"/>
    </row>
    <row r="96" spans="1:10" ht="27" customHeight="1" x14ac:dyDescent="0.25">
      <c r="A96" s="69"/>
      <c r="B96" s="69"/>
      <c r="C96" s="68"/>
      <c r="D96" s="68"/>
      <c r="E96" s="34" t="s">
        <v>11</v>
      </c>
      <c r="F96" s="35" t="s">
        <v>9</v>
      </c>
      <c r="G96" s="4">
        <f>177651.2+500000+115000</f>
        <v>792651.2</v>
      </c>
      <c r="H96" s="4">
        <v>0</v>
      </c>
      <c r="I96" s="4">
        <v>0</v>
      </c>
      <c r="J96" s="69"/>
    </row>
    <row r="97" spans="1:10" ht="27" customHeight="1" x14ac:dyDescent="0.25">
      <c r="A97" s="69" t="s">
        <v>299</v>
      </c>
      <c r="B97" s="70" t="s">
        <v>198</v>
      </c>
      <c r="C97" s="71">
        <v>45292</v>
      </c>
      <c r="D97" s="71">
        <v>45657</v>
      </c>
      <c r="E97" s="33" t="s">
        <v>6</v>
      </c>
      <c r="F97" s="26" t="s">
        <v>33</v>
      </c>
      <c r="G97" s="27">
        <f>SUM(G98:G100)</f>
        <v>1061500</v>
      </c>
      <c r="H97" s="27">
        <f t="shared" ref="H97:I97" si="20">SUM(H98:H100)</f>
        <v>0</v>
      </c>
      <c r="I97" s="27">
        <f t="shared" si="20"/>
        <v>0</v>
      </c>
      <c r="J97" s="69" t="s">
        <v>191</v>
      </c>
    </row>
    <row r="98" spans="1:10" ht="27" customHeight="1" x14ac:dyDescent="0.25">
      <c r="A98" s="69"/>
      <c r="B98" s="70"/>
      <c r="C98" s="71"/>
      <c r="D98" s="71"/>
      <c r="E98" s="33" t="s">
        <v>8</v>
      </c>
      <c r="F98" s="26" t="s">
        <v>9</v>
      </c>
      <c r="G98" s="27">
        <v>0</v>
      </c>
      <c r="H98" s="27">
        <v>0</v>
      </c>
      <c r="I98" s="27">
        <v>0</v>
      </c>
      <c r="J98" s="69"/>
    </row>
    <row r="99" spans="1:10" ht="27" customHeight="1" x14ac:dyDescent="0.25">
      <c r="A99" s="69"/>
      <c r="B99" s="70"/>
      <c r="C99" s="71"/>
      <c r="D99" s="71"/>
      <c r="E99" s="33" t="s">
        <v>10</v>
      </c>
      <c r="F99" s="26" t="s">
        <v>9</v>
      </c>
      <c r="G99" s="27">
        <v>0</v>
      </c>
      <c r="H99" s="27">
        <v>0</v>
      </c>
      <c r="I99" s="27">
        <v>0</v>
      </c>
      <c r="J99" s="69"/>
    </row>
    <row r="100" spans="1:10" ht="27" customHeight="1" x14ac:dyDescent="0.25">
      <c r="A100" s="69"/>
      <c r="B100" s="70"/>
      <c r="C100" s="71"/>
      <c r="D100" s="71"/>
      <c r="E100" s="33" t="s">
        <v>11</v>
      </c>
      <c r="F100" s="26" t="s">
        <v>9</v>
      </c>
      <c r="G100" s="27">
        <f>561500+500000</f>
        <v>1061500</v>
      </c>
      <c r="H100" s="27">
        <v>0</v>
      </c>
      <c r="I100" s="27">
        <v>0</v>
      </c>
      <c r="J100" s="69"/>
    </row>
    <row r="101" spans="1:10" ht="21" customHeight="1" x14ac:dyDescent="0.25">
      <c r="A101" s="69" t="s">
        <v>268</v>
      </c>
      <c r="B101" s="70" t="s">
        <v>269</v>
      </c>
      <c r="C101" s="71">
        <v>45292</v>
      </c>
      <c r="D101" s="71">
        <v>45657</v>
      </c>
      <c r="E101" s="56" t="s">
        <v>6</v>
      </c>
      <c r="F101" s="26" t="s">
        <v>33</v>
      </c>
      <c r="G101" s="27">
        <f>SUM(G102:G104)</f>
        <v>200000</v>
      </c>
      <c r="H101" s="27">
        <f t="shared" ref="H101:I101" si="21">SUM(H102:H104)</f>
        <v>0</v>
      </c>
      <c r="I101" s="27">
        <f t="shared" si="21"/>
        <v>0</v>
      </c>
      <c r="J101" s="69" t="s">
        <v>191</v>
      </c>
    </row>
    <row r="102" spans="1:10" ht="27" customHeight="1" x14ac:dyDescent="0.25">
      <c r="A102" s="69"/>
      <c r="B102" s="70"/>
      <c r="C102" s="71"/>
      <c r="D102" s="71"/>
      <c r="E102" s="56" t="s">
        <v>8</v>
      </c>
      <c r="F102" s="26" t="s">
        <v>9</v>
      </c>
      <c r="G102" s="27">
        <v>0</v>
      </c>
      <c r="H102" s="27">
        <v>0</v>
      </c>
      <c r="I102" s="27">
        <v>0</v>
      </c>
      <c r="J102" s="69"/>
    </row>
    <row r="103" spans="1:10" ht="27" customHeight="1" x14ac:dyDescent="0.25">
      <c r="A103" s="69"/>
      <c r="B103" s="70"/>
      <c r="C103" s="71"/>
      <c r="D103" s="71"/>
      <c r="E103" s="56" t="s">
        <v>10</v>
      </c>
      <c r="F103" s="26" t="s">
        <v>9</v>
      </c>
      <c r="G103" s="27">
        <v>0</v>
      </c>
      <c r="H103" s="27">
        <v>0</v>
      </c>
      <c r="I103" s="27">
        <v>0</v>
      </c>
      <c r="J103" s="69"/>
    </row>
    <row r="104" spans="1:10" ht="21" customHeight="1" x14ac:dyDescent="0.25">
      <c r="A104" s="69"/>
      <c r="B104" s="70"/>
      <c r="C104" s="71"/>
      <c r="D104" s="71"/>
      <c r="E104" s="56" t="s">
        <v>11</v>
      </c>
      <c r="F104" s="26" t="s">
        <v>9</v>
      </c>
      <c r="G104" s="27">
        <v>200000</v>
      </c>
      <c r="H104" s="27">
        <v>0</v>
      </c>
      <c r="I104" s="27">
        <v>0</v>
      </c>
      <c r="J104" s="69"/>
    </row>
    <row r="105" spans="1:10" ht="27" customHeight="1" x14ac:dyDescent="0.25">
      <c r="A105" s="69" t="s">
        <v>200</v>
      </c>
      <c r="B105" s="70" t="s">
        <v>199</v>
      </c>
      <c r="C105" s="71">
        <v>45292</v>
      </c>
      <c r="D105" s="71">
        <v>45657</v>
      </c>
      <c r="E105" s="33" t="s">
        <v>6</v>
      </c>
      <c r="F105" s="26" t="s">
        <v>33</v>
      </c>
      <c r="G105" s="27">
        <f>SUM(G106:G108)</f>
        <v>579799.6</v>
      </c>
      <c r="H105" s="27">
        <f t="shared" ref="H105:I105" si="22">SUM(H106:H108)</f>
        <v>0</v>
      </c>
      <c r="I105" s="27">
        <f t="shared" si="22"/>
        <v>0</v>
      </c>
      <c r="J105" s="69" t="s">
        <v>191</v>
      </c>
    </row>
    <row r="106" spans="1:10" ht="27" customHeight="1" x14ac:dyDescent="0.25">
      <c r="A106" s="69"/>
      <c r="B106" s="70"/>
      <c r="C106" s="71"/>
      <c r="D106" s="71"/>
      <c r="E106" s="33" t="s">
        <v>8</v>
      </c>
      <c r="F106" s="26" t="s">
        <v>9</v>
      </c>
      <c r="G106" s="27">
        <v>0</v>
      </c>
      <c r="H106" s="27">
        <v>0</v>
      </c>
      <c r="I106" s="27">
        <v>0</v>
      </c>
      <c r="J106" s="69"/>
    </row>
    <row r="107" spans="1:10" ht="27" customHeight="1" x14ac:dyDescent="0.25">
      <c r="A107" s="69"/>
      <c r="B107" s="70"/>
      <c r="C107" s="71"/>
      <c r="D107" s="71"/>
      <c r="E107" s="33" t="s">
        <v>10</v>
      </c>
      <c r="F107" s="26" t="s">
        <v>9</v>
      </c>
      <c r="G107" s="27">
        <v>0</v>
      </c>
      <c r="H107" s="27">
        <v>0</v>
      </c>
      <c r="I107" s="27">
        <v>0</v>
      </c>
      <c r="J107" s="69"/>
    </row>
    <row r="108" spans="1:10" ht="27" customHeight="1" x14ac:dyDescent="0.25">
      <c r="A108" s="69"/>
      <c r="B108" s="70"/>
      <c r="C108" s="71"/>
      <c r="D108" s="71"/>
      <c r="E108" s="33" t="s">
        <v>11</v>
      </c>
      <c r="F108" s="26" t="s">
        <v>9</v>
      </c>
      <c r="G108" s="27">
        <f>44000+136187.97+162182.8+157485.86+25000+54942.97</f>
        <v>579799.6</v>
      </c>
      <c r="H108" s="27">
        <v>0</v>
      </c>
      <c r="I108" s="27">
        <v>0</v>
      </c>
      <c r="J108" s="69"/>
    </row>
    <row r="109" spans="1:10" ht="27" customHeight="1" x14ac:dyDescent="0.25">
      <c r="A109" s="69" t="s">
        <v>292</v>
      </c>
      <c r="B109" s="70" t="s">
        <v>201</v>
      </c>
      <c r="C109" s="71">
        <v>45292</v>
      </c>
      <c r="D109" s="71">
        <v>45657</v>
      </c>
      <c r="E109" s="33" t="s">
        <v>6</v>
      </c>
      <c r="F109" s="26" t="s">
        <v>33</v>
      </c>
      <c r="G109" s="27">
        <f>SUM(G110:G112)</f>
        <v>2768532.99</v>
      </c>
      <c r="H109" s="27">
        <f t="shared" ref="H109:I109" si="23">SUM(H110:H112)</f>
        <v>0</v>
      </c>
      <c r="I109" s="27">
        <f t="shared" si="23"/>
        <v>0</v>
      </c>
      <c r="J109" s="69" t="s">
        <v>191</v>
      </c>
    </row>
    <row r="110" spans="1:10" ht="27" customHeight="1" x14ac:dyDescent="0.25">
      <c r="A110" s="69"/>
      <c r="B110" s="70"/>
      <c r="C110" s="71"/>
      <c r="D110" s="71"/>
      <c r="E110" s="33" t="s">
        <v>8</v>
      </c>
      <c r="F110" s="26" t="s">
        <v>9</v>
      </c>
      <c r="G110" s="27">
        <v>0</v>
      </c>
      <c r="H110" s="27">
        <v>0</v>
      </c>
      <c r="I110" s="27">
        <v>0</v>
      </c>
      <c r="J110" s="69"/>
    </row>
    <row r="111" spans="1:10" ht="27" customHeight="1" x14ac:dyDescent="0.25">
      <c r="A111" s="69"/>
      <c r="B111" s="70"/>
      <c r="C111" s="71"/>
      <c r="D111" s="71"/>
      <c r="E111" s="33" t="s">
        <v>10</v>
      </c>
      <c r="F111" s="26" t="s">
        <v>9</v>
      </c>
      <c r="G111" s="27">
        <v>0</v>
      </c>
      <c r="H111" s="27">
        <v>0</v>
      </c>
      <c r="I111" s="27">
        <v>0</v>
      </c>
      <c r="J111" s="69"/>
    </row>
    <row r="112" spans="1:10" ht="27" customHeight="1" x14ac:dyDescent="0.25">
      <c r="A112" s="69"/>
      <c r="B112" s="70"/>
      <c r="C112" s="71"/>
      <c r="D112" s="71"/>
      <c r="E112" s="33" t="s">
        <v>11</v>
      </c>
      <c r="F112" s="26" t="s">
        <v>9</v>
      </c>
      <c r="G112" s="27">
        <f>2640722.54+127810.45</f>
        <v>2768532.99</v>
      </c>
      <c r="H112" s="27">
        <v>0</v>
      </c>
      <c r="I112" s="27">
        <v>0</v>
      </c>
      <c r="J112" s="69"/>
    </row>
    <row r="113" spans="1:10" ht="27" customHeight="1" x14ac:dyDescent="0.25">
      <c r="A113" s="69" t="s">
        <v>271</v>
      </c>
      <c r="B113" s="70" t="s">
        <v>202</v>
      </c>
      <c r="C113" s="71">
        <v>45292</v>
      </c>
      <c r="D113" s="71">
        <v>45657</v>
      </c>
      <c r="E113" s="33" t="s">
        <v>6</v>
      </c>
      <c r="F113" s="26" t="s">
        <v>33</v>
      </c>
      <c r="G113" s="27">
        <f>SUM(G114:G116)</f>
        <v>3350150</v>
      </c>
      <c r="H113" s="27">
        <f t="shared" ref="H113:I113" si="24">SUM(H114:H116)</f>
        <v>0</v>
      </c>
      <c r="I113" s="27">
        <f t="shared" si="24"/>
        <v>0</v>
      </c>
      <c r="J113" s="69" t="s">
        <v>191</v>
      </c>
    </row>
    <row r="114" spans="1:10" ht="27" customHeight="1" x14ac:dyDescent="0.25">
      <c r="A114" s="69"/>
      <c r="B114" s="70"/>
      <c r="C114" s="71"/>
      <c r="D114" s="71"/>
      <c r="E114" s="33" t="s">
        <v>8</v>
      </c>
      <c r="F114" s="26" t="s">
        <v>9</v>
      </c>
      <c r="G114" s="27">
        <v>0</v>
      </c>
      <c r="H114" s="27">
        <v>0</v>
      </c>
      <c r="I114" s="27">
        <v>0</v>
      </c>
      <c r="J114" s="69"/>
    </row>
    <row r="115" spans="1:10" ht="27" customHeight="1" x14ac:dyDescent="0.25">
      <c r="A115" s="69"/>
      <c r="B115" s="70"/>
      <c r="C115" s="71"/>
      <c r="D115" s="71"/>
      <c r="E115" s="33" t="s">
        <v>10</v>
      </c>
      <c r="F115" s="26" t="s">
        <v>9</v>
      </c>
      <c r="G115" s="27">
        <v>0</v>
      </c>
      <c r="H115" s="27">
        <v>0</v>
      </c>
      <c r="I115" s="27">
        <v>0</v>
      </c>
      <c r="J115" s="69"/>
    </row>
    <row r="116" spans="1:10" ht="27" customHeight="1" x14ac:dyDescent="0.25">
      <c r="A116" s="69"/>
      <c r="B116" s="70"/>
      <c r="C116" s="71"/>
      <c r="D116" s="71"/>
      <c r="E116" s="33" t="s">
        <v>11</v>
      </c>
      <c r="F116" s="26" t="s">
        <v>9</v>
      </c>
      <c r="G116" s="27">
        <f>2102342.54+500000+400000+347807.46</f>
        <v>3350150</v>
      </c>
      <c r="H116" s="27">
        <v>0</v>
      </c>
      <c r="I116" s="27">
        <v>0</v>
      </c>
      <c r="J116" s="69"/>
    </row>
    <row r="117" spans="1:10" ht="27" customHeight="1" x14ac:dyDescent="0.25">
      <c r="A117" s="69" t="s">
        <v>237</v>
      </c>
      <c r="B117" s="70" t="s">
        <v>238</v>
      </c>
      <c r="C117" s="71">
        <v>45292</v>
      </c>
      <c r="D117" s="71">
        <v>45657</v>
      </c>
      <c r="E117" s="38" t="s">
        <v>6</v>
      </c>
      <c r="F117" s="26" t="s">
        <v>33</v>
      </c>
      <c r="G117" s="27">
        <f>SUM(G118:G120)</f>
        <v>152357.78</v>
      </c>
      <c r="H117" s="27">
        <f t="shared" ref="H117:I117" si="25">SUM(H118:H120)</f>
        <v>0</v>
      </c>
      <c r="I117" s="27">
        <f t="shared" si="25"/>
        <v>0</v>
      </c>
      <c r="J117" s="69" t="s">
        <v>191</v>
      </c>
    </row>
    <row r="118" spans="1:10" ht="27" customHeight="1" x14ac:dyDescent="0.25">
      <c r="A118" s="69"/>
      <c r="B118" s="70"/>
      <c r="C118" s="71"/>
      <c r="D118" s="71"/>
      <c r="E118" s="38" t="s">
        <v>8</v>
      </c>
      <c r="F118" s="26" t="s">
        <v>9</v>
      </c>
      <c r="G118" s="27">
        <v>0</v>
      </c>
      <c r="H118" s="27">
        <v>0</v>
      </c>
      <c r="I118" s="27">
        <v>0</v>
      </c>
      <c r="J118" s="69"/>
    </row>
    <row r="119" spans="1:10" ht="27" customHeight="1" x14ac:dyDescent="0.25">
      <c r="A119" s="69"/>
      <c r="B119" s="70"/>
      <c r="C119" s="71"/>
      <c r="D119" s="71"/>
      <c r="E119" s="38" t="s">
        <v>10</v>
      </c>
      <c r="F119" s="26" t="s">
        <v>9</v>
      </c>
      <c r="G119" s="27">
        <v>0</v>
      </c>
      <c r="H119" s="27">
        <v>0</v>
      </c>
      <c r="I119" s="27">
        <v>0</v>
      </c>
      <c r="J119" s="69"/>
    </row>
    <row r="120" spans="1:10" ht="27" customHeight="1" x14ac:dyDescent="0.25">
      <c r="A120" s="69"/>
      <c r="B120" s="70"/>
      <c r="C120" s="71"/>
      <c r="D120" s="71"/>
      <c r="E120" s="38" t="s">
        <v>11</v>
      </c>
      <c r="F120" s="26" t="s">
        <v>9</v>
      </c>
      <c r="G120" s="27">
        <v>152357.78</v>
      </c>
      <c r="H120" s="27">
        <v>0</v>
      </c>
      <c r="I120" s="27">
        <v>0</v>
      </c>
      <c r="J120" s="69"/>
    </row>
    <row r="121" spans="1:10" ht="25.5" customHeight="1" x14ac:dyDescent="0.25">
      <c r="A121" s="69" t="s">
        <v>256</v>
      </c>
      <c r="B121" s="69" t="s">
        <v>115</v>
      </c>
      <c r="C121" s="68">
        <v>45658</v>
      </c>
      <c r="D121" s="68">
        <v>46022</v>
      </c>
      <c r="E121" s="12" t="s">
        <v>6</v>
      </c>
      <c r="F121" s="3" t="s">
        <v>33</v>
      </c>
      <c r="G121" s="4">
        <f>SUM(G122:G124)</f>
        <v>3007151.55</v>
      </c>
      <c r="H121" s="4">
        <f t="shared" ref="H121:I121" si="26">SUM(H122:H124)</f>
        <v>2000000</v>
      </c>
      <c r="I121" s="4">
        <f t="shared" si="26"/>
        <v>0</v>
      </c>
      <c r="J121" s="69" t="s">
        <v>203</v>
      </c>
    </row>
    <row r="122" spans="1:10" ht="25.5" customHeight="1" x14ac:dyDescent="0.25">
      <c r="A122" s="69"/>
      <c r="B122" s="69"/>
      <c r="C122" s="68"/>
      <c r="D122" s="68"/>
      <c r="E122" s="12" t="s">
        <v>8</v>
      </c>
      <c r="F122" s="3" t="s">
        <v>9</v>
      </c>
      <c r="G122" s="4">
        <v>0</v>
      </c>
      <c r="H122" s="4">
        <v>0</v>
      </c>
      <c r="I122" s="4">
        <v>0</v>
      </c>
      <c r="J122" s="69"/>
    </row>
    <row r="123" spans="1:10" ht="25.5" customHeight="1" x14ac:dyDescent="0.25">
      <c r="A123" s="69"/>
      <c r="B123" s="69"/>
      <c r="C123" s="68"/>
      <c r="D123" s="68"/>
      <c r="E123" s="12" t="s">
        <v>10</v>
      </c>
      <c r="F123" s="3" t="s">
        <v>9</v>
      </c>
      <c r="G123" s="4">
        <v>0</v>
      </c>
      <c r="H123" s="4">
        <v>0</v>
      </c>
      <c r="I123" s="4">
        <v>0</v>
      </c>
      <c r="J123" s="69"/>
    </row>
    <row r="124" spans="1:10" ht="25.5" customHeight="1" x14ac:dyDescent="0.25">
      <c r="A124" s="69"/>
      <c r="B124" s="69"/>
      <c r="C124" s="68"/>
      <c r="D124" s="68"/>
      <c r="E124" s="12" t="s">
        <v>11</v>
      </c>
      <c r="F124" s="3" t="s">
        <v>9</v>
      </c>
      <c r="G124" s="4">
        <f>6413461.79-3368250.24-38060</f>
        <v>3007151.55</v>
      </c>
      <c r="H124" s="4">
        <v>2000000</v>
      </c>
      <c r="I124" s="4">
        <v>0</v>
      </c>
      <c r="J124" s="69"/>
    </row>
    <row r="125" spans="1:10" ht="25.5" customHeight="1" x14ac:dyDescent="0.25">
      <c r="A125" s="69" t="s">
        <v>272</v>
      </c>
      <c r="B125" s="69" t="s">
        <v>120</v>
      </c>
      <c r="C125" s="68">
        <v>45292</v>
      </c>
      <c r="D125" s="68">
        <v>45657</v>
      </c>
      <c r="E125" s="55" t="s">
        <v>6</v>
      </c>
      <c r="F125" s="57" t="s">
        <v>33</v>
      </c>
      <c r="G125" s="19">
        <f>SUM(G126:G128)</f>
        <v>150300</v>
      </c>
      <c r="H125" s="19">
        <f t="shared" ref="H125:I125" si="27">SUM(H126:H128)</f>
        <v>0</v>
      </c>
      <c r="I125" s="19">
        <f t="shared" si="27"/>
        <v>0</v>
      </c>
      <c r="J125" s="69" t="s">
        <v>273</v>
      </c>
    </row>
    <row r="126" spans="1:10" ht="25.5" customHeight="1" x14ac:dyDescent="0.25">
      <c r="A126" s="69"/>
      <c r="B126" s="69"/>
      <c r="C126" s="68"/>
      <c r="D126" s="68"/>
      <c r="E126" s="55" t="s">
        <v>8</v>
      </c>
      <c r="F126" s="57" t="s">
        <v>9</v>
      </c>
      <c r="G126" s="19">
        <v>0</v>
      </c>
      <c r="H126" s="19">
        <v>0</v>
      </c>
      <c r="I126" s="19">
        <v>0</v>
      </c>
      <c r="J126" s="69"/>
    </row>
    <row r="127" spans="1:10" ht="25.5" customHeight="1" x14ac:dyDescent="0.25">
      <c r="A127" s="69"/>
      <c r="B127" s="69"/>
      <c r="C127" s="68"/>
      <c r="D127" s="68"/>
      <c r="E127" s="55" t="s">
        <v>10</v>
      </c>
      <c r="F127" s="57" t="s">
        <v>9</v>
      </c>
      <c r="G127" s="19">
        <v>0</v>
      </c>
      <c r="H127" s="19">
        <v>0</v>
      </c>
      <c r="I127" s="19">
        <v>0</v>
      </c>
      <c r="J127" s="69"/>
    </row>
    <row r="128" spans="1:10" ht="25.5" customHeight="1" x14ac:dyDescent="0.25">
      <c r="A128" s="69"/>
      <c r="B128" s="69"/>
      <c r="C128" s="68"/>
      <c r="D128" s="68"/>
      <c r="E128" s="55" t="s">
        <v>11</v>
      </c>
      <c r="F128" s="57" t="s">
        <v>9</v>
      </c>
      <c r="G128" s="19">
        <v>150300</v>
      </c>
      <c r="H128" s="19">
        <v>0</v>
      </c>
      <c r="I128" s="19">
        <v>0</v>
      </c>
      <c r="J128" s="69"/>
    </row>
    <row r="129" spans="1:10" ht="25.5" customHeight="1" x14ac:dyDescent="0.25">
      <c r="A129" s="69" t="s">
        <v>274</v>
      </c>
      <c r="B129" s="69" t="s">
        <v>155</v>
      </c>
      <c r="C129" s="68">
        <v>45292</v>
      </c>
      <c r="D129" s="68">
        <v>45657</v>
      </c>
      <c r="E129" s="55" t="s">
        <v>6</v>
      </c>
      <c r="F129" s="57" t="s">
        <v>33</v>
      </c>
      <c r="G129" s="19">
        <f>SUM(G130:G132)</f>
        <v>200000</v>
      </c>
      <c r="H129" s="19">
        <f t="shared" ref="H129:I129" si="28">SUM(H130:H132)</f>
        <v>0</v>
      </c>
      <c r="I129" s="19">
        <f t="shared" si="28"/>
        <v>0</v>
      </c>
      <c r="J129" s="69" t="s">
        <v>118</v>
      </c>
    </row>
    <row r="130" spans="1:10" ht="25.5" customHeight="1" x14ac:dyDescent="0.25">
      <c r="A130" s="69"/>
      <c r="B130" s="69"/>
      <c r="C130" s="68"/>
      <c r="D130" s="68"/>
      <c r="E130" s="55" t="s">
        <v>8</v>
      </c>
      <c r="F130" s="57" t="s">
        <v>9</v>
      </c>
      <c r="G130" s="19">
        <v>0</v>
      </c>
      <c r="H130" s="19">
        <v>0</v>
      </c>
      <c r="I130" s="19">
        <v>0</v>
      </c>
      <c r="J130" s="69"/>
    </row>
    <row r="131" spans="1:10" ht="25.5" customHeight="1" x14ac:dyDescent="0.25">
      <c r="A131" s="69"/>
      <c r="B131" s="69"/>
      <c r="C131" s="68"/>
      <c r="D131" s="68"/>
      <c r="E131" s="55" t="s">
        <v>10</v>
      </c>
      <c r="F131" s="57" t="s">
        <v>9</v>
      </c>
      <c r="G131" s="19">
        <v>0</v>
      </c>
      <c r="H131" s="19">
        <v>0</v>
      </c>
      <c r="I131" s="19">
        <v>0</v>
      </c>
      <c r="J131" s="69"/>
    </row>
    <row r="132" spans="1:10" ht="25.5" customHeight="1" x14ac:dyDescent="0.25">
      <c r="A132" s="69"/>
      <c r="B132" s="69"/>
      <c r="C132" s="68"/>
      <c r="D132" s="68"/>
      <c r="E132" s="55" t="s">
        <v>11</v>
      </c>
      <c r="F132" s="57" t="s">
        <v>9</v>
      </c>
      <c r="G132" s="19">
        <v>200000</v>
      </c>
      <c r="H132" s="19">
        <v>0</v>
      </c>
      <c r="I132" s="19">
        <v>0</v>
      </c>
      <c r="J132" s="69"/>
    </row>
    <row r="133" spans="1:10" ht="25.5" customHeight="1" x14ac:dyDescent="0.25">
      <c r="A133" s="69" t="s">
        <v>275</v>
      </c>
      <c r="B133" s="69" t="s">
        <v>121</v>
      </c>
      <c r="C133" s="68">
        <v>45292</v>
      </c>
      <c r="D133" s="68">
        <v>45657</v>
      </c>
      <c r="E133" s="55" t="s">
        <v>6</v>
      </c>
      <c r="F133" s="57" t="s">
        <v>33</v>
      </c>
      <c r="G133" s="19">
        <f>SUM(G134:G136)</f>
        <v>718491.83999999985</v>
      </c>
      <c r="H133" s="19">
        <f t="shared" ref="H133:I133" si="29">SUM(H134:H136)</f>
        <v>0</v>
      </c>
      <c r="I133" s="19">
        <f t="shared" si="29"/>
        <v>0</v>
      </c>
      <c r="J133" s="69" t="s">
        <v>118</v>
      </c>
    </row>
    <row r="134" spans="1:10" ht="25.5" customHeight="1" x14ac:dyDescent="0.25">
      <c r="A134" s="69"/>
      <c r="B134" s="69"/>
      <c r="C134" s="68"/>
      <c r="D134" s="68"/>
      <c r="E134" s="55" t="s">
        <v>8</v>
      </c>
      <c r="F134" s="57" t="s">
        <v>9</v>
      </c>
      <c r="G134" s="19">
        <v>0</v>
      </c>
      <c r="H134" s="19">
        <v>0</v>
      </c>
      <c r="I134" s="19">
        <v>0</v>
      </c>
      <c r="J134" s="69"/>
    </row>
    <row r="135" spans="1:10" ht="25.5" customHeight="1" x14ac:dyDescent="0.25">
      <c r="A135" s="69"/>
      <c r="B135" s="69"/>
      <c r="C135" s="68"/>
      <c r="D135" s="68"/>
      <c r="E135" s="55" t="s">
        <v>10</v>
      </c>
      <c r="F135" s="57" t="s">
        <v>9</v>
      </c>
      <c r="G135" s="19">
        <v>0</v>
      </c>
      <c r="H135" s="19">
        <v>0</v>
      </c>
      <c r="I135" s="19">
        <v>0</v>
      </c>
      <c r="J135" s="69"/>
    </row>
    <row r="136" spans="1:10" ht="25.5" customHeight="1" x14ac:dyDescent="0.25">
      <c r="A136" s="69"/>
      <c r="B136" s="69"/>
      <c r="C136" s="68"/>
      <c r="D136" s="68"/>
      <c r="E136" s="55" t="s">
        <v>11</v>
      </c>
      <c r="F136" s="57" t="s">
        <v>9</v>
      </c>
      <c r="G136" s="19">
        <f>3099662.9-1048261.53-54942.97-498528.08-712393.52-67044.96</f>
        <v>718491.83999999985</v>
      </c>
      <c r="H136" s="19">
        <v>0</v>
      </c>
      <c r="I136" s="19">
        <v>0</v>
      </c>
      <c r="J136" s="69"/>
    </row>
    <row r="137" spans="1:10" ht="30" customHeight="1" x14ac:dyDescent="0.25">
      <c r="A137" s="69" t="s">
        <v>293</v>
      </c>
      <c r="B137" s="69" t="s">
        <v>56</v>
      </c>
      <c r="C137" s="68">
        <v>45292</v>
      </c>
      <c r="D137" s="68">
        <v>45657</v>
      </c>
      <c r="E137" s="53" t="s">
        <v>6</v>
      </c>
      <c r="F137" s="54" t="s">
        <v>33</v>
      </c>
      <c r="G137" s="19">
        <f>SUM(G138:G140)</f>
        <v>1903098.3099999998</v>
      </c>
      <c r="H137" s="19">
        <f t="shared" ref="H137:I137" si="30">SUM(H138:H140)</f>
        <v>0</v>
      </c>
      <c r="I137" s="19">
        <f t="shared" si="30"/>
        <v>0</v>
      </c>
      <c r="J137" s="69" t="s">
        <v>150</v>
      </c>
    </row>
    <row r="138" spans="1:10" ht="30" customHeight="1" x14ac:dyDescent="0.25">
      <c r="A138" s="69"/>
      <c r="B138" s="69"/>
      <c r="C138" s="68"/>
      <c r="D138" s="68"/>
      <c r="E138" s="53" t="s">
        <v>8</v>
      </c>
      <c r="F138" s="54" t="s">
        <v>9</v>
      </c>
      <c r="G138" s="19">
        <v>0</v>
      </c>
      <c r="H138" s="19">
        <v>0</v>
      </c>
      <c r="I138" s="19">
        <v>0</v>
      </c>
      <c r="J138" s="69"/>
    </row>
    <row r="139" spans="1:10" ht="30" customHeight="1" x14ac:dyDescent="0.25">
      <c r="A139" s="69"/>
      <c r="B139" s="69"/>
      <c r="C139" s="68"/>
      <c r="D139" s="68"/>
      <c r="E139" s="53" t="s">
        <v>10</v>
      </c>
      <c r="F139" s="54" t="s">
        <v>9</v>
      </c>
      <c r="G139" s="19">
        <v>0</v>
      </c>
      <c r="H139" s="19">
        <v>0</v>
      </c>
      <c r="I139" s="19">
        <v>0</v>
      </c>
      <c r="J139" s="69"/>
    </row>
    <row r="140" spans="1:10" ht="30" customHeight="1" x14ac:dyDescent="0.25">
      <c r="A140" s="69"/>
      <c r="B140" s="69"/>
      <c r="C140" s="68"/>
      <c r="D140" s="68"/>
      <c r="E140" s="53" t="s">
        <v>11</v>
      </c>
      <c r="F140" s="54" t="s">
        <v>9</v>
      </c>
      <c r="G140" s="19">
        <f>30060+1607751.7+18000+90000+90241.65+67044.96</f>
        <v>1903098.3099999998</v>
      </c>
      <c r="H140" s="19">
        <v>0</v>
      </c>
      <c r="I140" s="19">
        <v>0</v>
      </c>
      <c r="J140" s="69"/>
    </row>
    <row r="141" spans="1:10" ht="25.5" customHeight="1" x14ac:dyDescent="0.25">
      <c r="A141" s="70" t="s">
        <v>232</v>
      </c>
      <c r="B141" s="70" t="s">
        <v>174</v>
      </c>
      <c r="C141" s="68">
        <v>45292</v>
      </c>
      <c r="D141" s="68">
        <v>45657</v>
      </c>
      <c r="E141" s="38" t="s">
        <v>6</v>
      </c>
      <c r="F141" s="26" t="s">
        <v>33</v>
      </c>
      <c r="G141" s="27">
        <f>SUM(G142:G144)</f>
        <v>338031.7</v>
      </c>
      <c r="H141" s="27">
        <f t="shared" ref="H141:I141" si="31">SUM(H142:H144)</f>
        <v>0</v>
      </c>
      <c r="I141" s="27">
        <f t="shared" si="31"/>
        <v>0</v>
      </c>
      <c r="J141" s="69" t="s">
        <v>150</v>
      </c>
    </row>
    <row r="142" spans="1:10" ht="25.5" customHeight="1" x14ac:dyDescent="0.25">
      <c r="A142" s="70"/>
      <c r="B142" s="70"/>
      <c r="C142" s="68"/>
      <c r="D142" s="68"/>
      <c r="E142" s="38" t="s">
        <v>8</v>
      </c>
      <c r="F142" s="26" t="s">
        <v>9</v>
      </c>
      <c r="G142" s="27">
        <v>0</v>
      </c>
      <c r="H142" s="27">
        <v>0</v>
      </c>
      <c r="I142" s="27">
        <v>0</v>
      </c>
      <c r="J142" s="69"/>
    </row>
    <row r="143" spans="1:10" ht="25.5" customHeight="1" x14ac:dyDescent="0.25">
      <c r="A143" s="70"/>
      <c r="B143" s="70"/>
      <c r="C143" s="68"/>
      <c r="D143" s="68"/>
      <c r="E143" s="38" t="s">
        <v>10</v>
      </c>
      <c r="F143" s="26" t="s">
        <v>9</v>
      </c>
      <c r="G143" s="27">
        <v>0</v>
      </c>
      <c r="H143" s="27">
        <v>0</v>
      </c>
      <c r="I143" s="27">
        <v>0</v>
      </c>
      <c r="J143" s="69"/>
    </row>
    <row r="144" spans="1:10" ht="25.5" customHeight="1" x14ac:dyDescent="0.25">
      <c r="A144" s="70"/>
      <c r="B144" s="70"/>
      <c r="C144" s="68"/>
      <c r="D144" s="68"/>
      <c r="E144" s="38" t="s">
        <v>11</v>
      </c>
      <c r="F144" s="26" t="s">
        <v>9</v>
      </c>
      <c r="G144" s="4">
        <v>338031.7</v>
      </c>
      <c r="H144" s="27">
        <v>0</v>
      </c>
      <c r="I144" s="27">
        <v>0</v>
      </c>
      <c r="J144" s="69"/>
    </row>
    <row r="145" spans="1:10" ht="25.5" customHeight="1" x14ac:dyDescent="0.25">
      <c r="A145" s="70" t="s">
        <v>257</v>
      </c>
      <c r="B145" s="70" t="s">
        <v>173</v>
      </c>
      <c r="C145" s="71">
        <v>45292</v>
      </c>
      <c r="D145" s="71">
        <v>45657</v>
      </c>
      <c r="E145" s="25" t="s">
        <v>6</v>
      </c>
      <c r="F145" s="26" t="s">
        <v>33</v>
      </c>
      <c r="G145" s="27">
        <f>SUM(G146:G148)</f>
        <v>1000173.46</v>
      </c>
      <c r="H145" s="27">
        <f t="shared" ref="H145:I145" si="32">SUM(H146:H148)</f>
        <v>0</v>
      </c>
      <c r="I145" s="27">
        <f t="shared" si="32"/>
        <v>0</v>
      </c>
      <c r="J145" s="70" t="s">
        <v>181</v>
      </c>
    </row>
    <row r="146" spans="1:10" ht="25.5" customHeight="1" x14ac:dyDescent="0.25">
      <c r="A146" s="70"/>
      <c r="B146" s="70"/>
      <c r="C146" s="71"/>
      <c r="D146" s="71"/>
      <c r="E146" s="25" t="s">
        <v>8</v>
      </c>
      <c r="F146" s="26" t="s">
        <v>9</v>
      </c>
      <c r="G146" s="27">
        <v>0</v>
      </c>
      <c r="H146" s="27">
        <v>0</v>
      </c>
      <c r="I146" s="27">
        <v>0</v>
      </c>
      <c r="J146" s="70"/>
    </row>
    <row r="147" spans="1:10" ht="25.5" customHeight="1" x14ac:dyDescent="0.25">
      <c r="A147" s="70"/>
      <c r="B147" s="70"/>
      <c r="C147" s="71"/>
      <c r="D147" s="71"/>
      <c r="E147" s="25" t="s">
        <v>10</v>
      </c>
      <c r="F147" s="26" t="s">
        <v>9</v>
      </c>
      <c r="G147" s="27">
        <v>0</v>
      </c>
      <c r="H147" s="27">
        <v>0</v>
      </c>
      <c r="I147" s="27">
        <v>0</v>
      </c>
      <c r="J147" s="70"/>
    </row>
    <row r="148" spans="1:10" ht="25.5" customHeight="1" x14ac:dyDescent="0.25">
      <c r="A148" s="70"/>
      <c r="B148" s="70"/>
      <c r="C148" s="71"/>
      <c r="D148" s="71"/>
      <c r="E148" s="25" t="s">
        <v>11</v>
      </c>
      <c r="F148" s="26" t="s">
        <v>9</v>
      </c>
      <c r="G148" s="27">
        <f>175900+100000+74273.46+650000</f>
        <v>1000173.46</v>
      </c>
      <c r="H148" s="27">
        <v>0</v>
      </c>
      <c r="I148" s="27">
        <v>0</v>
      </c>
      <c r="J148" s="70"/>
    </row>
    <row r="149" spans="1:10" ht="49.5" customHeight="1" x14ac:dyDescent="0.25">
      <c r="A149" s="70" t="s">
        <v>182</v>
      </c>
      <c r="B149" s="70" t="s">
        <v>58</v>
      </c>
      <c r="C149" s="71">
        <v>45292</v>
      </c>
      <c r="D149" s="71">
        <v>45657</v>
      </c>
      <c r="E149" s="25" t="s">
        <v>6</v>
      </c>
      <c r="F149" s="26" t="s">
        <v>183</v>
      </c>
      <c r="G149" s="27">
        <f>SUM(G150:G152)</f>
        <v>19781642.580000002</v>
      </c>
      <c r="H149" s="27">
        <f t="shared" ref="H149:I149" si="33">SUM(H150:H152)</f>
        <v>0</v>
      </c>
      <c r="I149" s="27">
        <f t="shared" si="33"/>
        <v>0</v>
      </c>
      <c r="J149" s="70" t="s">
        <v>34</v>
      </c>
    </row>
    <row r="150" spans="1:10" ht="49.5" customHeight="1" x14ac:dyDescent="0.25">
      <c r="A150" s="70"/>
      <c r="B150" s="70"/>
      <c r="C150" s="71"/>
      <c r="D150" s="71"/>
      <c r="E150" s="25" t="s">
        <v>8</v>
      </c>
      <c r="F150" s="26" t="s">
        <v>9</v>
      </c>
      <c r="G150" s="27">
        <v>0</v>
      </c>
      <c r="H150" s="27">
        <v>0</v>
      </c>
      <c r="I150" s="27">
        <v>0</v>
      </c>
      <c r="J150" s="70"/>
    </row>
    <row r="151" spans="1:10" ht="49.5" customHeight="1" x14ac:dyDescent="0.25">
      <c r="A151" s="70"/>
      <c r="B151" s="70"/>
      <c r="C151" s="71"/>
      <c r="D151" s="71"/>
      <c r="E151" s="25" t="s">
        <v>10</v>
      </c>
      <c r="F151" s="26" t="s">
        <v>9</v>
      </c>
      <c r="G151" s="27">
        <v>18640241.800000001</v>
      </c>
      <c r="H151" s="27">
        <v>0</v>
      </c>
      <c r="I151" s="27">
        <v>0</v>
      </c>
      <c r="J151" s="70"/>
    </row>
    <row r="152" spans="1:10" ht="49.5" customHeight="1" x14ac:dyDescent="0.25">
      <c r="A152" s="70"/>
      <c r="B152" s="70"/>
      <c r="C152" s="71"/>
      <c r="D152" s="71"/>
      <c r="E152" s="25" t="s">
        <v>11</v>
      </c>
      <c r="F152" s="26" t="s">
        <v>9</v>
      </c>
      <c r="G152" s="27">
        <v>1141400.78</v>
      </c>
      <c r="H152" s="27">
        <v>0</v>
      </c>
      <c r="I152" s="27">
        <v>0</v>
      </c>
      <c r="J152" s="70"/>
    </row>
    <row r="153" spans="1:10" ht="49.5" customHeight="1" x14ac:dyDescent="0.25">
      <c r="A153" s="70" t="s">
        <v>184</v>
      </c>
      <c r="B153" s="70" t="s">
        <v>185</v>
      </c>
      <c r="C153" s="71">
        <v>45292</v>
      </c>
      <c r="D153" s="71">
        <v>45657</v>
      </c>
      <c r="E153" s="25" t="s">
        <v>6</v>
      </c>
      <c r="F153" s="26" t="s">
        <v>183</v>
      </c>
      <c r="G153" s="27">
        <f>SUM(G154:G156)</f>
        <v>3391000.74</v>
      </c>
      <c r="H153" s="27">
        <f t="shared" ref="H153:I153" si="34">SUM(H154:H156)</f>
        <v>0</v>
      </c>
      <c r="I153" s="27">
        <f t="shared" si="34"/>
        <v>0</v>
      </c>
      <c r="J153" s="70" t="s">
        <v>34</v>
      </c>
    </row>
    <row r="154" spans="1:10" ht="49.5" customHeight="1" x14ac:dyDescent="0.25">
      <c r="A154" s="70"/>
      <c r="B154" s="70"/>
      <c r="C154" s="71"/>
      <c r="D154" s="71"/>
      <c r="E154" s="25" t="s">
        <v>8</v>
      </c>
      <c r="F154" s="26" t="s">
        <v>9</v>
      </c>
      <c r="G154" s="27">
        <v>0</v>
      </c>
      <c r="H154" s="27">
        <v>0</v>
      </c>
      <c r="I154" s="27">
        <v>0</v>
      </c>
      <c r="J154" s="70"/>
    </row>
    <row r="155" spans="1:10" ht="50.25" customHeight="1" x14ac:dyDescent="0.25">
      <c r="A155" s="70"/>
      <c r="B155" s="70"/>
      <c r="C155" s="71"/>
      <c r="D155" s="71"/>
      <c r="E155" s="25" t="s">
        <v>10</v>
      </c>
      <c r="F155" s="26" t="s">
        <v>9</v>
      </c>
      <c r="G155" s="27">
        <v>3195340</v>
      </c>
      <c r="H155" s="27">
        <v>0</v>
      </c>
      <c r="I155" s="27">
        <v>0</v>
      </c>
      <c r="J155" s="70"/>
    </row>
    <row r="156" spans="1:10" ht="50.25" customHeight="1" x14ac:dyDescent="0.25">
      <c r="A156" s="70"/>
      <c r="B156" s="70"/>
      <c r="C156" s="71"/>
      <c r="D156" s="71"/>
      <c r="E156" s="25" t="s">
        <v>11</v>
      </c>
      <c r="F156" s="26" t="s">
        <v>9</v>
      </c>
      <c r="G156" s="27">
        <v>195660.74</v>
      </c>
      <c r="H156" s="27">
        <v>0</v>
      </c>
      <c r="I156" s="27">
        <v>0</v>
      </c>
      <c r="J156" s="70"/>
    </row>
    <row r="157" spans="1:10" ht="50.25" customHeight="1" x14ac:dyDescent="0.25">
      <c r="A157" s="70" t="s">
        <v>212</v>
      </c>
      <c r="B157" s="70" t="s">
        <v>186</v>
      </c>
      <c r="C157" s="71">
        <v>45292</v>
      </c>
      <c r="D157" s="71">
        <v>45657</v>
      </c>
      <c r="E157" s="25" t="s">
        <v>6</v>
      </c>
      <c r="F157" s="26" t="s">
        <v>183</v>
      </c>
      <c r="G157" s="27">
        <f>SUM(G158:G160)</f>
        <v>1395500.37</v>
      </c>
      <c r="H157" s="27">
        <f t="shared" ref="H157:I157" si="35">SUM(H158:H160)</f>
        <v>0</v>
      </c>
      <c r="I157" s="27">
        <f t="shared" si="35"/>
        <v>0</v>
      </c>
      <c r="J157" s="70" t="s">
        <v>34</v>
      </c>
    </row>
    <row r="158" spans="1:10" ht="50.25" customHeight="1" x14ac:dyDescent="0.25">
      <c r="A158" s="70"/>
      <c r="B158" s="70"/>
      <c r="C158" s="71"/>
      <c r="D158" s="71"/>
      <c r="E158" s="25" t="s">
        <v>8</v>
      </c>
      <c r="F158" s="26" t="s">
        <v>9</v>
      </c>
      <c r="G158" s="27">
        <v>0</v>
      </c>
      <c r="H158" s="27">
        <v>0</v>
      </c>
      <c r="I158" s="27">
        <v>0</v>
      </c>
      <c r="J158" s="70"/>
    </row>
    <row r="159" spans="1:10" ht="50.25" customHeight="1" x14ac:dyDescent="0.25">
      <c r="A159" s="70"/>
      <c r="B159" s="70"/>
      <c r="C159" s="71"/>
      <c r="D159" s="71"/>
      <c r="E159" s="25" t="s">
        <v>10</v>
      </c>
      <c r="F159" s="26" t="s">
        <v>9</v>
      </c>
      <c r="G159" s="27">
        <v>1314980</v>
      </c>
      <c r="H159" s="27">
        <v>0</v>
      </c>
      <c r="I159" s="27">
        <v>0</v>
      </c>
      <c r="J159" s="70"/>
    </row>
    <row r="160" spans="1:10" ht="50.25" customHeight="1" x14ac:dyDescent="0.25">
      <c r="A160" s="70"/>
      <c r="B160" s="70"/>
      <c r="C160" s="71"/>
      <c r="D160" s="71"/>
      <c r="E160" s="25" t="s">
        <v>11</v>
      </c>
      <c r="F160" s="26" t="s">
        <v>9</v>
      </c>
      <c r="G160" s="27">
        <v>80520.37</v>
      </c>
      <c r="H160" s="27">
        <v>0</v>
      </c>
      <c r="I160" s="27">
        <v>0</v>
      </c>
      <c r="J160" s="70"/>
    </row>
    <row r="161" spans="1:10" ht="25.5" customHeight="1" x14ac:dyDescent="0.25">
      <c r="A161" s="69" t="s">
        <v>35</v>
      </c>
      <c r="B161" s="67" t="s">
        <v>57</v>
      </c>
      <c r="C161" s="68">
        <v>45292</v>
      </c>
      <c r="D161" s="68">
        <v>46387</v>
      </c>
      <c r="E161" s="12" t="s">
        <v>6</v>
      </c>
      <c r="F161" s="3" t="s">
        <v>36</v>
      </c>
      <c r="G161" s="4">
        <f>SUM(G162:G164)</f>
        <v>105462</v>
      </c>
      <c r="H161" s="4">
        <f t="shared" ref="H161" si="36">SUM(H162:H164)</f>
        <v>58590</v>
      </c>
      <c r="I161" s="4">
        <f t="shared" ref="I161" si="37">SUM(I162:I164)</f>
        <v>58590</v>
      </c>
      <c r="J161" s="69" t="s">
        <v>37</v>
      </c>
    </row>
    <row r="162" spans="1:10" ht="25.5" customHeight="1" x14ac:dyDescent="0.25">
      <c r="A162" s="69"/>
      <c r="B162" s="67"/>
      <c r="C162" s="68"/>
      <c r="D162" s="68"/>
      <c r="E162" s="12" t="s">
        <v>8</v>
      </c>
      <c r="F162" s="3" t="s">
        <v>9</v>
      </c>
      <c r="G162" s="4">
        <v>0</v>
      </c>
      <c r="H162" s="4">
        <v>0</v>
      </c>
      <c r="I162" s="4">
        <v>0</v>
      </c>
      <c r="J162" s="69"/>
    </row>
    <row r="163" spans="1:10" ht="25.5" customHeight="1" x14ac:dyDescent="0.25">
      <c r="A163" s="69"/>
      <c r="B163" s="67"/>
      <c r="C163" s="68"/>
      <c r="D163" s="68"/>
      <c r="E163" s="12" t="s">
        <v>10</v>
      </c>
      <c r="F163" s="3" t="s">
        <v>9</v>
      </c>
      <c r="G163" s="4">
        <v>0</v>
      </c>
      <c r="H163" s="4">
        <v>0</v>
      </c>
      <c r="I163" s="4">
        <v>0</v>
      </c>
      <c r="J163" s="69"/>
    </row>
    <row r="164" spans="1:10" ht="25.5" customHeight="1" x14ac:dyDescent="0.25">
      <c r="A164" s="69"/>
      <c r="B164" s="67"/>
      <c r="C164" s="68"/>
      <c r="D164" s="68"/>
      <c r="E164" s="12" t="s">
        <v>11</v>
      </c>
      <c r="F164" s="3" t="s">
        <v>9</v>
      </c>
      <c r="G164" s="4">
        <v>105462</v>
      </c>
      <c r="H164" s="4">
        <v>58590</v>
      </c>
      <c r="I164" s="4">
        <v>58590</v>
      </c>
      <c r="J164" s="69"/>
    </row>
    <row r="165" spans="1:10" ht="48.75" customHeight="1" x14ac:dyDescent="0.25">
      <c r="A165" s="70" t="s">
        <v>187</v>
      </c>
      <c r="B165" s="85" t="s">
        <v>57</v>
      </c>
      <c r="C165" s="71">
        <v>45292</v>
      </c>
      <c r="D165" s="71">
        <v>45657</v>
      </c>
      <c r="E165" s="25" t="s">
        <v>6</v>
      </c>
      <c r="F165" s="26" t="s">
        <v>188</v>
      </c>
      <c r="G165" s="27">
        <f>SUM(G166:G168)</f>
        <v>1629812.64</v>
      </c>
      <c r="H165" s="27">
        <f t="shared" ref="H165:I165" si="38">SUM(H166:H168)</f>
        <v>0</v>
      </c>
      <c r="I165" s="27">
        <f t="shared" si="38"/>
        <v>0</v>
      </c>
      <c r="J165" s="70" t="s">
        <v>189</v>
      </c>
    </row>
    <row r="166" spans="1:10" ht="48.75" customHeight="1" x14ac:dyDescent="0.25">
      <c r="A166" s="70"/>
      <c r="B166" s="85"/>
      <c r="C166" s="71"/>
      <c r="D166" s="71"/>
      <c r="E166" s="25" t="s">
        <v>8</v>
      </c>
      <c r="F166" s="26" t="s">
        <v>9</v>
      </c>
      <c r="G166" s="27">
        <v>0</v>
      </c>
      <c r="H166" s="27">
        <v>0</v>
      </c>
      <c r="I166" s="27">
        <v>0</v>
      </c>
      <c r="J166" s="70"/>
    </row>
    <row r="167" spans="1:10" ht="48.75" customHeight="1" x14ac:dyDescent="0.25">
      <c r="A167" s="70"/>
      <c r="B167" s="85"/>
      <c r="C167" s="71"/>
      <c r="D167" s="71"/>
      <c r="E167" s="25" t="s">
        <v>10</v>
      </c>
      <c r="F167" s="26" t="s">
        <v>9</v>
      </c>
      <c r="G167" s="27">
        <v>1629812.64</v>
      </c>
      <c r="H167" s="27">
        <v>0</v>
      </c>
      <c r="I167" s="27">
        <v>0</v>
      </c>
      <c r="J167" s="70"/>
    </row>
    <row r="168" spans="1:10" ht="48.75" customHeight="1" x14ac:dyDescent="0.25">
      <c r="A168" s="70"/>
      <c r="B168" s="85"/>
      <c r="C168" s="71"/>
      <c r="D168" s="71"/>
      <c r="E168" s="25" t="s">
        <v>11</v>
      </c>
      <c r="F168" s="26" t="s">
        <v>9</v>
      </c>
      <c r="G168" s="27">
        <v>0</v>
      </c>
      <c r="H168" s="27">
        <v>0</v>
      </c>
      <c r="I168" s="27">
        <v>0</v>
      </c>
      <c r="J168" s="70"/>
    </row>
    <row r="169" spans="1:10" ht="28.5" customHeight="1" x14ac:dyDescent="0.25">
      <c r="A169" s="69" t="s">
        <v>205</v>
      </c>
      <c r="B169" s="67" t="s">
        <v>192</v>
      </c>
      <c r="C169" s="68">
        <v>45292</v>
      </c>
      <c r="D169" s="68">
        <v>45657</v>
      </c>
      <c r="E169" s="34" t="s">
        <v>6</v>
      </c>
      <c r="F169" s="35" t="s">
        <v>208</v>
      </c>
      <c r="G169" s="4">
        <f>SUM(G170:G172)</f>
        <v>400000</v>
      </c>
      <c r="H169" s="4">
        <f t="shared" ref="H169:I169" si="39">SUM(H170:H172)</f>
        <v>0</v>
      </c>
      <c r="I169" s="4">
        <f t="shared" si="39"/>
        <v>0</v>
      </c>
      <c r="J169" s="69" t="s">
        <v>206</v>
      </c>
    </row>
    <row r="170" spans="1:10" ht="28.5" customHeight="1" x14ac:dyDescent="0.25">
      <c r="A170" s="69"/>
      <c r="B170" s="67"/>
      <c r="C170" s="68"/>
      <c r="D170" s="68"/>
      <c r="E170" s="34" t="s">
        <v>8</v>
      </c>
      <c r="F170" s="35" t="s">
        <v>9</v>
      </c>
      <c r="G170" s="4">
        <v>0</v>
      </c>
      <c r="H170" s="4">
        <v>0</v>
      </c>
      <c r="I170" s="4">
        <v>0</v>
      </c>
      <c r="J170" s="69"/>
    </row>
    <row r="171" spans="1:10" ht="28.5" customHeight="1" x14ac:dyDescent="0.25">
      <c r="A171" s="69"/>
      <c r="B171" s="67"/>
      <c r="C171" s="68"/>
      <c r="D171" s="68"/>
      <c r="E171" s="34" t="s">
        <v>10</v>
      </c>
      <c r="F171" s="35" t="s">
        <v>9</v>
      </c>
      <c r="G171" s="4">
        <v>400000</v>
      </c>
      <c r="H171" s="4">
        <v>0</v>
      </c>
      <c r="I171" s="4">
        <v>0</v>
      </c>
      <c r="J171" s="69"/>
    </row>
    <row r="172" spans="1:10" ht="28.5" customHeight="1" x14ac:dyDescent="0.25">
      <c r="A172" s="69"/>
      <c r="B172" s="67"/>
      <c r="C172" s="68"/>
      <c r="D172" s="68"/>
      <c r="E172" s="34" t="s">
        <v>11</v>
      </c>
      <c r="F172" s="35" t="s">
        <v>9</v>
      </c>
      <c r="G172" s="4">
        <v>0</v>
      </c>
      <c r="H172" s="4">
        <v>0</v>
      </c>
      <c r="I172" s="4">
        <v>0</v>
      </c>
      <c r="J172" s="69"/>
    </row>
    <row r="173" spans="1:10" ht="30" customHeight="1" x14ac:dyDescent="0.25">
      <c r="A173" s="69" t="s">
        <v>207</v>
      </c>
      <c r="B173" s="67" t="s">
        <v>204</v>
      </c>
      <c r="C173" s="68">
        <v>45292</v>
      </c>
      <c r="D173" s="68">
        <v>45657</v>
      </c>
      <c r="E173" s="34" t="s">
        <v>6</v>
      </c>
      <c r="F173" s="35" t="s">
        <v>208</v>
      </c>
      <c r="G173" s="4">
        <f>SUM(G174:G176)</f>
        <v>400000</v>
      </c>
      <c r="H173" s="4">
        <f t="shared" ref="H173:I173" si="40">SUM(H174:H176)</f>
        <v>0</v>
      </c>
      <c r="I173" s="4">
        <f t="shared" si="40"/>
        <v>0</v>
      </c>
      <c r="J173" s="69" t="s">
        <v>206</v>
      </c>
    </row>
    <row r="174" spans="1:10" ht="30" customHeight="1" x14ac:dyDescent="0.25">
      <c r="A174" s="69"/>
      <c r="B174" s="67"/>
      <c r="C174" s="68"/>
      <c r="D174" s="68"/>
      <c r="E174" s="34" t="s">
        <v>8</v>
      </c>
      <c r="F174" s="35" t="s">
        <v>9</v>
      </c>
      <c r="G174" s="4">
        <v>0</v>
      </c>
      <c r="H174" s="4">
        <v>0</v>
      </c>
      <c r="I174" s="4">
        <v>0</v>
      </c>
      <c r="J174" s="69"/>
    </row>
    <row r="175" spans="1:10" ht="30" customHeight="1" x14ac:dyDescent="0.25">
      <c r="A175" s="69"/>
      <c r="B175" s="67"/>
      <c r="C175" s="68"/>
      <c r="D175" s="68"/>
      <c r="E175" s="34" t="s">
        <v>10</v>
      </c>
      <c r="F175" s="35" t="s">
        <v>9</v>
      </c>
      <c r="G175" s="4">
        <v>400000</v>
      </c>
      <c r="H175" s="4">
        <v>0</v>
      </c>
      <c r="I175" s="4">
        <v>0</v>
      </c>
      <c r="J175" s="69"/>
    </row>
    <row r="176" spans="1:10" ht="30" customHeight="1" x14ac:dyDescent="0.25">
      <c r="A176" s="69"/>
      <c r="B176" s="67"/>
      <c r="C176" s="68"/>
      <c r="D176" s="68"/>
      <c r="E176" s="34" t="s">
        <v>11</v>
      </c>
      <c r="F176" s="35" t="s">
        <v>9</v>
      </c>
      <c r="G176" s="4">
        <v>0</v>
      </c>
      <c r="H176" s="4">
        <v>0</v>
      </c>
      <c r="I176" s="4">
        <v>0</v>
      </c>
      <c r="J176" s="69"/>
    </row>
    <row r="177" spans="1:14" ht="29.25" customHeight="1" x14ac:dyDescent="0.25">
      <c r="A177" s="69" t="s">
        <v>210</v>
      </c>
      <c r="B177" s="67" t="s">
        <v>209</v>
      </c>
      <c r="C177" s="68">
        <v>45292</v>
      </c>
      <c r="D177" s="68">
        <v>45657</v>
      </c>
      <c r="E177" s="34" t="s">
        <v>6</v>
      </c>
      <c r="F177" s="35" t="s">
        <v>208</v>
      </c>
      <c r="G177" s="4">
        <f>SUM(G178:G180)</f>
        <v>400000</v>
      </c>
      <c r="H177" s="4">
        <f t="shared" ref="H177:I177" si="41">SUM(H178:H180)</f>
        <v>0</v>
      </c>
      <c r="I177" s="4">
        <f t="shared" si="41"/>
        <v>0</v>
      </c>
      <c r="J177" s="69" t="s">
        <v>206</v>
      </c>
    </row>
    <row r="178" spans="1:14" ht="29.25" customHeight="1" x14ac:dyDescent="0.25">
      <c r="A178" s="69"/>
      <c r="B178" s="67"/>
      <c r="C178" s="68"/>
      <c r="D178" s="68"/>
      <c r="E178" s="34" t="s">
        <v>8</v>
      </c>
      <c r="F178" s="35" t="s">
        <v>9</v>
      </c>
      <c r="G178" s="4">
        <v>0</v>
      </c>
      <c r="H178" s="4">
        <v>0</v>
      </c>
      <c r="I178" s="4">
        <v>0</v>
      </c>
      <c r="J178" s="69"/>
    </row>
    <row r="179" spans="1:14" ht="29.25" customHeight="1" x14ac:dyDescent="0.25">
      <c r="A179" s="69"/>
      <c r="B179" s="67"/>
      <c r="C179" s="68"/>
      <c r="D179" s="68"/>
      <c r="E179" s="34" t="s">
        <v>10</v>
      </c>
      <c r="F179" s="35" t="s">
        <v>9</v>
      </c>
      <c r="G179" s="4">
        <v>400000</v>
      </c>
      <c r="H179" s="4">
        <v>0</v>
      </c>
      <c r="I179" s="4">
        <v>0</v>
      </c>
      <c r="J179" s="69"/>
    </row>
    <row r="180" spans="1:14" ht="29.25" customHeight="1" x14ac:dyDescent="0.25">
      <c r="A180" s="69"/>
      <c r="B180" s="67"/>
      <c r="C180" s="68"/>
      <c r="D180" s="68"/>
      <c r="E180" s="34" t="s">
        <v>11</v>
      </c>
      <c r="F180" s="35" t="s">
        <v>9</v>
      </c>
      <c r="G180" s="4">
        <v>0</v>
      </c>
      <c r="H180" s="4">
        <v>0</v>
      </c>
      <c r="I180" s="4">
        <v>0</v>
      </c>
      <c r="J180" s="69"/>
    </row>
    <row r="181" spans="1:14" ht="25.5" customHeight="1" x14ac:dyDescent="0.25">
      <c r="A181" s="69" t="s">
        <v>38</v>
      </c>
      <c r="B181" s="67" t="s">
        <v>57</v>
      </c>
      <c r="C181" s="68">
        <v>45292</v>
      </c>
      <c r="D181" s="68">
        <v>46387</v>
      </c>
      <c r="E181" s="12" t="s">
        <v>6</v>
      </c>
      <c r="F181" s="3" t="s">
        <v>39</v>
      </c>
      <c r="G181" s="4">
        <f>SUM(G182:G184)</f>
        <v>6792190.4000000004</v>
      </c>
      <c r="H181" s="4">
        <f t="shared" ref="H181" si="42">SUM(H182:H184)</f>
        <v>6817441.4000000004</v>
      </c>
      <c r="I181" s="4">
        <f t="shared" ref="I181" si="43">SUM(I182:I184)</f>
        <v>6843702.5</v>
      </c>
      <c r="J181" s="69" t="s">
        <v>91</v>
      </c>
    </row>
    <row r="182" spans="1:14" ht="25.5" customHeight="1" x14ac:dyDescent="0.25">
      <c r="A182" s="69"/>
      <c r="B182" s="67"/>
      <c r="C182" s="68"/>
      <c r="D182" s="68"/>
      <c r="E182" s="12" t="s">
        <v>8</v>
      </c>
      <c r="F182" s="3" t="s">
        <v>9</v>
      </c>
      <c r="G182" s="4">
        <v>0</v>
      </c>
      <c r="H182" s="4">
        <v>0</v>
      </c>
      <c r="I182" s="4">
        <v>0</v>
      </c>
      <c r="J182" s="69"/>
    </row>
    <row r="183" spans="1:14" ht="25.5" customHeight="1" x14ac:dyDescent="0.25">
      <c r="A183" s="69"/>
      <c r="B183" s="67"/>
      <c r="C183" s="68"/>
      <c r="D183" s="68"/>
      <c r="E183" s="12" t="s">
        <v>10</v>
      </c>
      <c r="F183" s="3" t="s">
        <v>9</v>
      </c>
      <c r="G183" s="4">
        <v>6792190.4000000004</v>
      </c>
      <c r="H183" s="4">
        <v>6817441.4000000004</v>
      </c>
      <c r="I183" s="4">
        <v>6843702.5</v>
      </c>
      <c r="J183" s="69"/>
    </row>
    <row r="184" spans="1:14" ht="25.5" customHeight="1" x14ac:dyDescent="0.25">
      <c r="A184" s="69"/>
      <c r="B184" s="67"/>
      <c r="C184" s="68"/>
      <c r="D184" s="68"/>
      <c r="E184" s="12" t="s">
        <v>11</v>
      </c>
      <c r="F184" s="3" t="s">
        <v>9</v>
      </c>
      <c r="G184" s="4">
        <v>0</v>
      </c>
      <c r="H184" s="4">
        <v>0</v>
      </c>
      <c r="I184" s="4">
        <v>0</v>
      </c>
      <c r="J184" s="69"/>
    </row>
    <row r="185" spans="1:14" ht="24.75" customHeight="1" x14ac:dyDescent="0.25">
      <c r="A185" s="69" t="s">
        <v>40</v>
      </c>
      <c r="B185" s="67" t="s">
        <v>57</v>
      </c>
      <c r="C185" s="68">
        <v>45292</v>
      </c>
      <c r="D185" s="68">
        <v>46387</v>
      </c>
      <c r="E185" s="12" t="s">
        <v>6</v>
      </c>
      <c r="F185" s="3" t="s">
        <v>109</v>
      </c>
      <c r="G185" s="4">
        <f>SUM(G186:G188)</f>
        <v>2532866</v>
      </c>
      <c r="H185" s="4">
        <f t="shared" ref="H185" si="44">SUM(H186:H188)</f>
        <v>3101542.36</v>
      </c>
      <c r="I185" s="4">
        <f t="shared" ref="I185" si="45">SUM(I186:I188)</f>
        <v>3101542.36</v>
      </c>
      <c r="J185" s="69" t="s">
        <v>92</v>
      </c>
      <c r="K185" s="40"/>
      <c r="L185" s="40"/>
      <c r="M185" s="40"/>
      <c r="N185" s="40"/>
    </row>
    <row r="186" spans="1:14" ht="24.75" customHeight="1" x14ac:dyDescent="0.25">
      <c r="A186" s="69"/>
      <c r="B186" s="67"/>
      <c r="C186" s="68"/>
      <c r="D186" s="68"/>
      <c r="E186" s="12" t="s">
        <v>8</v>
      </c>
      <c r="F186" s="3" t="s">
        <v>9</v>
      </c>
      <c r="G186" s="4">
        <v>0</v>
      </c>
      <c r="H186" s="4">
        <v>0</v>
      </c>
      <c r="I186" s="4">
        <v>0</v>
      </c>
      <c r="J186" s="69"/>
      <c r="K186" s="40"/>
      <c r="L186" s="40"/>
      <c r="M186" s="40"/>
      <c r="N186" s="40"/>
    </row>
    <row r="187" spans="1:14" ht="24.75" customHeight="1" x14ac:dyDescent="0.25">
      <c r="A187" s="69"/>
      <c r="B187" s="67"/>
      <c r="C187" s="68"/>
      <c r="D187" s="68"/>
      <c r="E187" s="12" t="s">
        <v>10</v>
      </c>
      <c r="F187" s="3" t="s">
        <v>9</v>
      </c>
      <c r="G187" s="4">
        <f>3359818.68-826952.68</f>
        <v>2532866</v>
      </c>
      <c r="H187" s="4">
        <v>3101542.36</v>
      </c>
      <c r="I187" s="4">
        <v>3101542.36</v>
      </c>
      <c r="J187" s="69"/>
      <c r="K187" s="40"/>
      <c r="L187" s="40"/>
      <c r="M187" s="40"/>
      <c r="N187" s="40"/>
    </row>
    <row r="188" spans="1:14" ht="24.75" customHeight="1" x14ac:dyDescent="0.25">
      <c r="A188" s="69"/>
      <c r="B188" s="67"/>
      <c r="C188" s="68"/>
      <c r="D188" s="68"/>
      <c r="E188" s="12" t="s">
        <v>11</v>
      </c>
      <c r="F188" s="3" t="s">
        <v>9</v>
      </c>
      <c r="G188" s="4">
        <v>0</v>
      </c>
      <c r="H188" s="4">
        <v>0</v>
      </c>
      <c r="I188" s="4">
        <v>0</v>
      </c>
      <c r="J188" s="69"/>
    </row>
    <row r="189" spans="1:14" ht="12" customHeight="1" x14ac:dyDescent="0.25">
      <c r="A189" s="74" t="s">
        <v>3</v>
      </c>
      <c r="B189" s="74"/>
      <c r="C189" s="74"/>
      <c r="D189" s="74"/>
      <c r="E189" s="74"/>
      <c r="F189" s="74"/>
      <c r="G189" s="74"/>
      <c r="H189" s="74"/>
      <c r="I189" s="74"/>
      <c r="J189" s="74"/>
    </row>
    <row r="190" spans="1:14" ht="26.25" customHeight="1" x14ac:dyDescent="0.25">
      <c r="A190" s="69" t="s">
        <v>29</v>
      </c>
      <c r="B190" s="67" t="s">
        <v>5</v>
      </c>
      <c r="C190" s="68">
        <v>45292</v>
      </c>
      <c r="D190" s="68">
        <v>46387</v>
      </c>
      <c r="E190" s="12" t="s">
        <v>6</v>
      </c>
      <c r="F190" s="3" t="s">
        <v>41</v>
      </c>
      <c r="G190" s="19">
        <f>SUM(G191:G193)</f>
        <v>79903858.760000005</v>
      </c>
      <c r="H190" s="19">
        <f t="shared" ref="H190" si="46">SUM(H191:H193)</f>
        <v>74660438.5</v>
      </c>
      <c r="I190" s="19">
        <f t="shared" ref="I190" si="47">SUM(I191:I193)</f>
        <v>77603088.060000002</v>
      </c>
      <c r="J190" s="69" t="s">
        <v>31</v>
      </c>
    </row>
    <row r="191" spans="1:14" ht="26.25" customHeight="1" x14ac:dyDescent="0.25">
      <c r="A191" s="69"/>
      <c r="B191" s="67"/>
      <c r="C191" s="68"/>
      <c r="D191" s="68"/>
      <c r="E191" s="12" t="s">
        <v>8</v>
      </c>
      <c r="F191" s="3" t="s">
        <v>9</v>
      </c>
      <c r="G191" s="19">
        <v>0</v>
      </c>
      <c r="H191" s="19">
        <v>0</v>
      </c>
      <c r="I191" s="19">
        <v>0</v>
      </c>
      <c r="J191" s="69"/>
    </row>
    <row r="192" spans="1:14" ht="26.25" customHeight="1" x14ac:dyDescent="0.25">
      <c r="A192" s="69"/>
      <c r="B192" s="67"/>
      <c r="C192" s="68"/>
      <c r="D192" s="68"/>
      <c r="E192" s="12" t="s">
        <v>10</v>
      </c>
      <c r="F192" s="3" t="s">
        <v>9</v>
      </c>
      <c r="G192" s="19">
        <v>0</v>
      </c>
      <c r="H192" s="19">
        <v>0</v>
      </c>
      <c r="I192" s="19">
        <v>0</v>
      </c>
      <c r="J192" s="69"/>
    </row>
    <row r="193" spans="1:10" ht="26.25" customHeight="1" x14ac:dyDescent="0.25">
      <c r="A193" s="69"/>
      <c r="B193" s="67"/>
      <c r="C193" s="68"/>
      <c r="D193" s="68"/>
      <c r="E193" s="12" t="s">
        <v>11</v>
      </c>
      <c r="F193" s="3" t="s">
        <v>9</v>
      </c>
      <c r="G193" s="19">
        <f>71898600+3929100+350000+141380+60000+53200+100000+30000+22280+100000+9680+550000+172000-1730753.63-3641716.84-100000-1061048.8+4541716.84+75000+73648.7+500000+790000+202500+1730753.63+426000+168438+285000+171850+8200+31823.6+16207.26</f>
        <v>79903858.760000005</v>
      </c>
      <c r="H193" s="19">
        <v>74660438.5</v>
      </c>
      <c r="I193" s="19">
        <v>77603088.060000002</v>
      </c>
      <c r="J193" s="69"/>
    </row>
    <row r="194" spans="1:10" ht="60" customHeight="1" x14ac:dyDescent="0.25">
      <c r="A194" s="69" t="s">
        <v>32</v>
      </c>
      <c r="B194" s="67" t="s">
        <v>5</v>
      </c>
      <c r="C194" s="68">
        <v>45292</v>
      </c>
      <c r="D194" s="68">
        <v>46387</v>
      </c>
      <c r="E194" s="12" t="s">
        <v>6</v>
      </c>
      <c r="F194" s="3" t="s">
        <v>42</v>
      </c>
      <c r="G194" s="19">
        <f>SUM(G195:G197)</f>
        <v>571408768.38</v>
      </c>
      <c r="H194" s="19">
        <f t="shared" ref="H194" si="48">SUM(H195:H197)</f>
        <v>540952857.00999999</v>
      </c>
      <c r="I194" s="19">
        <f t="shared" ref="I194" si="49">SUM(I195:I197)</f>
        <v>563321197.76999998</v>
      </c>
      <c r="J194" s="69" t="s">
        <v>93</v>
      </c>
    </row>
    <row r="195" spans="1:10" ht="60" customHeight="1" x14ac:dyDescent="0.25">
      <c r="A195" s="69"/>
      <c r="B195" s="67"/>
      <c r="C195" s="68"/>
      <c r="D195" s="68"/>
      <c r="E195" s="12" t="s">
        <v>8</v>
      </c>
      <c r="F195" s="3" t="s">
        <v>9</v>
      </c>
      <c r="G195" s="19">
        <v>0</v>
      </c>
      <c r="H195" s="19">
        <v>0</v>
      </c>
      <c r="I195" s="19">
        <v>0</v>
      </c>
      <c r="J195" s="69"/>
    </row>
    <row r="196" spans="1:10" ht="60" customHeight="1" x14ac:dyDescent="0.25">
      <c r="A196" s="69"/>
      <c r="B196" s="67"/>
      <c r="C196" s="68"/>
      <c r="D196" s="68"/>
      <c r="E196" s="12" t="s">
        <v>10</v>
      </c>
      <c r="F196" s="3" t="s">
        <v>9</v>
      </c>
      <c r="G196" s="19">
        <f>507058783.8+21866733.43+2000000+40483251.15</f>
        <v>571408768.38</v>
      </c>
      <c r="H196" s="19">
        <v>540952857.00999999</v>
      </c>
      <c r="I196" s="19">
        <v>563321197.76999998</v>
      </c>
      <c r="J196" s="69"/>
    </row>
    <row r="197" spans="1:10" ht="60" customHeight="1" x14ac:dyDescent="0.25">
      <c r="A197" s="69"/>
      <c r="B197" s="67"/>
      <c r="C197" s="68"/>
      <c r="D197" s="68"/>
      <c r="E197" s="12" t="s">
        <v>11</v>
      </c>
      <c r="F197" s="3" t="s">
        <v>9</v>
      </c>
      <c r="G197" s="19">
        <v>0</v>
      </c>
      <c r="H197" s="19">
        <v>0</v>
      </c>
      <c r="I197" s="19">
        <v>0</v>
      </c>
      <c r="J197" s="69"/>
    </row>
    <row r="198" spans="1:10" ht="57.75" customHeight="1" x14ac:dyDescent="0.25">
      <c r="A198" s="69" t="s">
        <v>32</v>
      </c>
      <c r="B198" s="67" t="s">
        <v>5</v>
      </c>
      <c r="C198" s="68">
        <v>45292</v>
      </c>
      <c r="D198" s="68">
        <v>46387</v>
      </c>
      <c r="E198" s="12" t="s">
        <v>6</v>
      </c>
      <c r="F198" s="3" t="s">
        <v>44</v>
      </c>
      <c r="G198" s="19">
        <f>SUM(G199:G201)</f>
        <v>13972301.799999999</v>
      </c>
      <c r="H198" s="19">
        <f t="shared" ref="H198" si="50">SUM(H199:H201)</f>
        <v>29272636.16</v>
      </c>
      <c r="I198" s="19">
        <f t="shared" ref="I198" si="51">SUM(I199:I201)</f>
        <v>31506091.760000002</v>
      </c>
      <c r="J198" s="69" t="s">
        <v>93</v>
      </c>
    </row>
    <row r="199" spans="1:10" ht="57.75" customHeight="1" x14ac:dyDescent="0.25">
      <c r="A199" s="69"/>
      <c r="B199" s="67"/>
      <c r="C199" s="68"/>
      <c r="D199" s="68"/>
      <c r="E199" s="12" t="s">
        <v>8</v>
      </c>
      <c r="F199" s="3" t="s">
        <v>9</v>
      </c>
      <c r="G199" s="19">
        <v>0</v>
      </c>
      <c r="H199" s="19">
        <v>0</v>
      </c>
      <c r="I199" s="19">
        <v>0</v>
      </c>
      <c r="J199" s="69"/>
    </row>
    <row r="200" spans="1:10" ht="57.75" customHeight="1" x14ac:dyDescent="0.25">
      <c r="A200" s="69"/>
      <c r="B200" s="67"/>
      <c r="C200" s="68"/>
      <c r="D200" s="68"/>
      <c r="E200" s="12" t="s">
        <v>10</v>
      </c>
      <c r="F200" s="3" t="s">
        <v>9</v>
      </c>
      <c r="G200" s="19">
        <f>28205201.88-7517082-2000000-4715818.08</f>
        <v>13972301.799999999</v>
      </c>
      <c r="H200" s="19">
        <v>29272636.16</v>
      </c>
      <c r="I200" s="19">
        <v>31506091.760000002</v>
      </c>
      <c r="J200" s="69"/>
    </row>
    <row r="201" spans="1:10" ht="57.75" customHeight="1" x14ac:dyDescent="0.25">
      <c r="A201" s="69"/>
      <c r="B201" s="67"/>
      <c r="C201" s="68"/>
      <c r="D201" s="68"/>
      <c r="E201" s="12" t="s">
        <v>11</v>
      </c>
      <c r="F201" s="3" t="s">
        <v>9</v>
      </c>
      <c r="G201" s="19">
        <v>0</v>
      </c>
      <c r="H201" s="19">
        <v>0</v>
      </c>
      <c r="I201" s="19">
        <v>0</v>
      </c>
      <c r="J201" s="69"/>
    </row>
    <row r="202" spans="1:10" ht="36" customHeight="1" x14ac:dyDescent="0.25">
      <c r="A202" s="69" t="s">
        <v>228</v>
      </c>
      <c r="B202" s="69" t="s">
        <v>116</v>
      </c>
      <c r="C202" s="68">
        <v>45292</v>
      </c>
      <c r="D202" s="68">
        <v>45657</v>
      </c>
      <c r="E202" s="12" t="s">
        <v>6</v>
      </c>
      <c r="F202" s="3" t="s">
        <v>45</v>
      </c>
      <c r="G202" s="19">
        <f>SUM(G203:G205)</f>
        <v>4044953.7700000005</v>
      </c>
      <c r="H202" s="19">
        <f t="shared" ref="H202:I202" si="52">SUM(H203:H205)</f>
        <v>0</v>
      </c>
      <c r="I202" s="19">
        <f t="shared" si="52"/>
        <v>0</v>
      </c>
      <c r="J202" s="69" t="s">
        <v>175</v>
      </c>
    </row>
    <row r="203" spans="1:10" ht="36" customHeight="1" x14ac:dyDescent="0.25">
      <c r="A203" s="69"/>
      <c r="B203" s="69"/>
      <c r="C203" s="68"/>
      <c r="D203" s="68"/>
      <c r="E203" s="12" t="s">
        <v>8</v>
      </c>
      <c r="F203" s="3" t="s">
        <v>9</v>
      </c>
      <c r="G203" s="19">
        <v>0</v>
      </c>
      <c r="H203" s="19">
        <v>0</v>
      </c>
      <c r="I203" s="19">
        <v>0</v>
      </c>
      <c r="J203" s="69"/>
    </row>
    <row r="204" spans="1:10" ht="36" customHeight="1" x14ac:dyDescent="0.25">
      <c r="A204" s="69"/>
      <c r="B204" s="69"/>
      <c r="C204" s="68"/>
      <c r="D204" s="68"/>
      <c r="E204" s="12" t="s">
        <v>10</v>
      </c>
      <c r="F204" s="3" t="s">
        <v>9</v>
      </c>
      <c r="G204" s="19">
        <v>0</v>
      </c>
      <c r="H204" s="19">
        <v>0</v>
      </c>
      <c r="I204" s="19">
        <v>0</v>
      </c>
      <c r="J204" s="69"/>
    </row>
    <row r="205" spans="1:10" ht="36" customHeight="1" x14ac:dyDescent="0.25">
      <c r="A205" s="69"/>
      <c r="B205" s="69"/>
      <c r="C205" s="68"/>
      <c r="D205" s="68"/>
      <c r="E205" s="12" t="s">
        <v>11</v>
      </c>
      <c r="F205" s="3" t="s">
        <v>9</v>
      </c>
      <c r="G205" s="19">
        <f>556870.44+131000+2317647.2+235718.45+182744.68+620973</f>
        <v>4044953.7700000005</v>
      </c>
      <c r="H205" s="19">
        <v>0</v>
      </c>
      <c r="I205" s="19">
        <v>0</v>
      </c>
      <c r="J205" s="69"/>
    </row>
    <row r="206" spans="1:10" ht="30" customHeight="1" x14ac:dyDescent="0.25">
      <c r="A206" s="69" t="s">
        <v>241</v>
      </c>
      <c r="B206" s="69" t="s">
        <v>112</v>
      </c>
      <c r="C206" s="68">
        <v>45292</v>
      </c>
      <c r="D206" s="68">
        <v>45657</v>
      </c>
      <c r="E206" s="12" t="s">
        <v>6</v>
      </c>
      <c r="F206" s="3" t="s">
        <v>45</v>
      </c>
      <c r="G206" s="19">
        <f>SUM(G207:G209)</f>
        <v>1561073.83</v>
      </c>
      <c r="H206" s="19">
        <f t="shared" ref="H206:I206" si="53">SUM(H207:H209)</f>
        <v>0</v>
      </c>
      <c r="I206" s="19">
        <f t="shared" si="53"/>
        <v>0</v>
      </c>
      <c r="J206" s="69" t="s">
        <v>211</v>
      </c>
    </row>
    <row r="207" spans="1:10" ht="30" customHeight="1" x14ac:dyDescent="0.25">
      <c r="A207" s="69"/>
      <c r="B207" s="69"/>
      <c r="C207" s="68"/>
      <c r="D207" s="68"/>
      <c r="E207" s="12" t="s">
        <v>8</v>
      </c>
      <c r="F207" s="3" t="s">
        <v>9</v>
      </c>
      <c r="G207" s="19">
        <v>0</v>
      </c>
      <c r="H207" s="19">
        <v>0</v>
      </c>
      <c r="I207" s="19">
        <v>0</v>
      </c>
      <c r="J207" s="69"/>
    </row>
    <row r="208" spans="1:10" ht="30" customHeight="1" x14ac:dyDescent="0.25">
      <c r="A208" s="69"/>
      <c r="B208" s="69"/>
      <c r="C208" s="68"/>
      <c r="D208" s="68"/>
      <c r="E208" s="12" t="s">
        <v>10</v>
      </c>
      <c r="F208" s="3" t="s">
        <v>9</v>
      </c>
      <c r="G208" s="19">
        <v>0</v>
      </c>
      <c r="H208" s="19">
        <v>0</v>
      </c>
      <c r="I208" s="19">
        <v>0</v>
      </c>
      <c r="J208" s="69"/>
    </row>
    <row r="209" spans="1:10" ht="30" customHeight="1" x14ac:dyDescent="0.25">
      <c r="A209" s="69"/>
      <c r="B209" s="69"/>
      <c r="C209" s="68"/>
      <c r="D209" s="68"/>
      <c r="E209" s="12" t="s">
        <v>11</v>
      </c>
      <c r="F209" s="3" t="s">
        <v>9</v>
      </c>
      <c r="G209" s="19">
        <f>851402.83+209671+500000</f>
        <v>1561073.83</v>
      </c>
      <c r="H209" s="19">
        <v>0</v>
      </c>
      <c r="I209" s="19">
        <v>0</v>
      </c>
      <c r="J209" s="69"/>
    </row>
    <row r="210" spans="1:10" ht="44.25" customHeight="1" x14ac:dyDescent="0.25">
      <c r="A210" s="69" t="s">
        <v>276</v>
      </c>
      <c r="B210" s="69" t="s">
        <v>113</v>
      </c>
      <c r="C210" s="68">
        <v>45292</v>
      </c>
      <c r="D210" s="68">
        <v>46022</v>
      </c>
      <c r="E210" s="12" t="s">
        <v>6</v>
      </c>
      <c r="F210" s="3" t="s">
        <v>45</v>
      </c>
      <c r="G210" s="19">
        <f>SUM(G211:G213)</f>
        <v>3604785.34</v>
      </c>
      <c r="H210" s="19">
        <f t="shared" ref="H210:I210" si="54">SUM(H211:H213)</f>
        <v>2350816.66</v>
      </c>
      <c r="I210" s="19">
        <f t="shared" si="54"/>
        <v>0</v>
      </c>
      <c r="J210" s="86" t="s">
        <v>211</v>
      </c>
    </row>
    <row r="211" spans="1:10" ht="44.25" customHeight="1" x14ac:dyDescent="0.25">
      <c r="A211" s="69"/>
      <c r="B211" s="69"/>
      <c r="C211" s="68"/>
      <c r="D211" s="68"/>
      <c r="E211" s="12" t="s">
        <v>8</v>
      </c>
      <c r="F211" s="3" t="s">
        <v>9</v>
      </c>
      <c r="G211" s="19">
        <v>0</v>
      </c>
      <c r="H211" s="19">
        <v>0</v>
      </c>
      <c r="I211" s="19">
        <v>0</v>
      </c>
      <c r="J211" s="87"/>
    </row>
    <row r="212" spans="1:10" ht="44.25" customHeight="1" x14ac:dyDescent="0.25">
      <c r="A212" s="69"/>
      <c r="B212" s="69"/>
      <c r="C212" s="68"/>
      <c r="D212" s="68"/>
      <c r="E212" s="12" t="s">
        <v>10</v>
      </c>
      <c r="F212" s="3" t="s">
        <v>9</v>
      </c>
      <c r="G212" s="19">
        <v>0</v>
      </c>
      <c r="H212" s="19">
        <v>0</v>
      </c>
      <c r="I212" s="19">
        <v>0</v>
      </c>
      <c r="J212" s="87"/>
    </row>
    <row r="213" spans="1:10" ht="44.25" customHeight="1" x14ac:dyDescent="0.25">
      <c r="A213" s="69"/>
      <c r="B213" s="69"/>
      <c r="C213" s="68"/>
      <c r="D213" s="68"/>
      <c r="E213" s="12" t="s">
        <v>11</v>
      </c>
      <c r="F213" s="3" t="s">
        <v>9</v>
      </c>
      <c r="G213" s="19">
        <f>726683.63-175900+200000+644177.76+225333.95+1684490+300000</f>
        <v>3604785.34</v>
      </c>
      <c r="H213" s="19">
        <v>2350816.66</v>
      </c>
      <c r="I213" s="19">
        <v>0</v>
      </c>
      <c r="J213" s="88"/>
    </row>
    <row r="214" spans="1:10" ht="45" customHeight="1" x14ac:dyDescent="0.25">
      <c r="A214" s="69" t="s">
        <v>277</v>
      </c>
      <c r="B214" s="69" t="s">
        <v>117</v>
      </c>
      <c r="C214" s="68">
        <v>45292</v>
      </c>
      <c r="D214" s="68">
        <v>46022</v>
      </c>
      <c r="E214" s="12" t="s">
        <v>6</v>
      </c>
      <c r="F214" s="3" t="s">
        <v>45</v>
      </c>
      <c r="G214" s="19">
        <f>SUM(G215:G217)</f>
        <v>2001770.9299999995</v>
      </c>
      <c r="H214" s="19">
        <f t="shared" ref="H214:I214" si="55">SUM(H215:H217)</f>
        <v>2602900</v>
      </c>
      <c r="I214" s="19">
        <f t="shared" si="55"/>
        <v>0</v>
      </c>
      <c r="J214" s="69" t="s">
        <v>211</v>
      </c>
    </row>
    <row r="215" spans="1:10" ht="45" customHeight="1" x14ac:dyDescent="0.25">
      <c r="A215" s="69"/>
      <c r="B215" s="69"/>
      <c r="C215" s="68"/>
      <c r="D215" s="68"/>
      <c r="E215" s="12" t="s">
        <v>8</v>
      </c>
      <c r="F215" s="3" t="s">
        <v>9</v>
      </c>
      <c r="G215" s="19">
        <v>0</v>
      </c>
      <c r="H215" s="19">
        <v>0</v>
      </c>
      <c r="I215" s="19">
        <v>0</v>
      </c>
      <c r="J215" s="69"/>
    </row>
    <row r="216" spans="1:10" ht="45" customHeight="1" x14ac:dyDescent="0.25">
      <c r="A216" s="69"/>
      <c r="B216" s="69"/>
      <c r="C216" s="68"/>
      <c r="D216" s="68"/>
      <c r="E216" s="12" t="s">
        <v>10</v>
      </c>
      <c r="F216" s="3" t="s">
        <v>9</v>
      </c>
      <c r="G216" s="19">
        <v>0</v>
      </c>
      <c r="H216" s="19">
        <v>0</v>
      </c>
      <c r="I216" s="19">
        <v>0</v>
      </c>
      <c r="J216" s="69"/>
    </row>
    <row r="217" spans="1:10" ht="45" customHeight="1" x14ac:dyDescent="0.25">
      <c r="A217" s="69"/>
      <c r="B217" s="69"/>
      <c r="C217" s="68"/>
      <c r="D217" s="68"/>
      <c r="E217" s="12" t="s">
        <v>11</v>
      </c>
      <c r="F217" s="3" t="s">
        <v>9</v>
      </c>
      <c r="G217" s="19">
        <f>111581.96+239497.28+123358.85+400000+300000+175510.08+400000+329103.9+685381.44+65066.3-50298.37-777430.51</f>
        <v>2001770.9299999995</v>
      </c>
      <c r="H217" s="19">
        <v>2602900</v>
      </c>
      <c r="I217" s="19">
        <v>0</v>
      </c>
      <c r="J217" s="69"/>
    </row>
    <row r="218" spans="1:10" ht="41.25" customHeight="1" x14ac:dyDescent="0.25">
      <c r="A218" s="69" t="s">
        <v>300</v>
      </c>
      <c r="B218" s="69" t="s">
        <v>119</v>
      </c>
      <c r="C218" s="68">
        <v>45292</v>
      </c>
      <c r="D218" s="68">
        <v>46387</v>
      </c>
      <c r="E218" s="12" t="s">
        <v>6</v>
      </c>
      <c r="F218" s="3" t="s">
        <v>45</v>
      </c>
      <c r="G218" s="19">
        <f>SUM(G219:G221)</f>
        <v>2916716.4</v>
      </c>
      <c r="H218" s="19">
        <f t="shared" ref="H218:I218" si="56">SUM(H219:H221)</f>
        <v>0</v>
      </c>
      <c r="I218" s="19">
        <f t="shared" si="56"/>
        <v>2425499.9900000002</v>
      </c>
      <c r="J218" s="69" t="s">
        <v>211</v>
      </c>
    </row>
    <row r="219" spans="1:10" ht="41.25" customHeight="1" x14ac:dyDescent="0.25">
      <c r="A219" s="69"/>
      <c r="B219" s="69"/>
      <c r="C219" s="68"/>
      <c r="D219" s="68"/>
      <c r="E219" s="12" t="s">
        <v>8</v>
      </c>
      <c r="F219" s="3" t="s">
        <v>9</v>
      </c>
      <c r="G219" s="19">
        <v>0</v>
      </c>
      <c r="H219" s="19">
        <v>0</v>
      </c>
      <c r="I219" s="19">
        <v>0</v>
      </c>
      <c r="J219" s="69"/>
    </row>
    <row r="220" spans="1:10" ht="41.25" customHeight="1" x14ac:dyDescent="0.25">
      <c r="A220" s="69"/>
      <c r="B220" s="69"/>
      <c r="C220" s="68"/>
      <c r="D220" s="68"/>
      <c r="E220" s="12" t="s">
        <v>10</v>
      </c>
      <c r="F220" s="3" t="s">
        <v>9</v>
      </c>
      <c r="G220" s="19">
        <v>0</v>
      </c>
      <c r="H220" s="19">
        <v>0</v>
      </c>
      <c r="I220" s="19">
        <v>0</v>
      </c>
      <c r="J220" s="69"/>
    </row>
    <row r="221" spans="1:10" ht="41.25" customHeight="1" x14ac:dyDescent="0.25">
      <c r="A221" s="69"/>
      <c r="B221" s="69"/>
      <c r="C221" s="68"/>
      <c r="D221" s="68"/>
      <c r="E221" s="12" t="s">
        <v>11</v>
      </c>
      <c r="F221" s="3" t="s">
        <v>9</v>
      </c>
      <c r="G221" s="19">
        <f>499659.23+1500000+299089.9-32331.1+600000+50298.37</f>
        <v>2916716.4</v>
      </c>
      <c r="H221" s="19">
        <v>0</v>
      </c>
      <c r="I221" s="19">
        <v>2425499.9900000002</v>
      </c>
      <c r="J221" s="69"/>
    </row>
    <row r="222" spans="1:10" ht="36.75" customHeight="1" x14ac:dyDescent="0.25">
      <c r="A222" s="69" t="s">
        <v>231</v>
      </c>
      <c r="B222" s="69" t="s">
        <v>131</v>
      </c>
      <c r="C222" s="68">
        <v>45292</v>
      </c>
      <c r="D222" s="68">
        <v>46387</v>
      </c>
      <c r="E222" s="12" t="s">
        <v>6</v>
      </c>
      <c r="F222" s="3" t="s">
        <v>45</v>
      </c>
      <c r="G222" s="19">
        <f>SUM(G223:G225)</f>
        <v>1385512.2099999997</v>
      </c>
      <c r="H222" s="19">
        <f t="shared" ref="H222:I222" si="57">SUM(H223:H225)</f>
        <v>0</v>
      </c>
      <c r="I222" s="19">
        <f t="shared" si="57"/>
        <v>3074500</v>
      </c>
      <c r="J222" s="86" t="s">
        <v>211</v>
      </c>
    </row>
    <row r="223" spans="1:10" ht="36.75" customHeight="1" x14ac:dyDescent="0.25">
      <c r="A223" s="69"/>
      <c r="B223" s="69"/>
      <c r="C223" s="68"/>
      <c r="D223" s="68"/>
      <c r="E223" s="12" t="s">
        <v>8</v>
      </c>
      <c r="F223" s="3" t="s">
        <v>9</v>
      </c>
      <c r="G223" s="19">
        <v>0</v>
      </c>
      <c r="H223" s="19">
        <v>0</v>
      </c>
      <c r="I223" s="19">
        <v>0</v>
      </c>
      <c r="J223" s="87"/>
    </row>
    <row r="224" spans="1:10" ht="36.75" customHeight="1" x14ac:dyDescent="0.25">
      <c r="A224" s="69"/>
      <c r="B224" s="69"/>
      <c r="C224" s="68"/>
      <c r="D224" s="68"/>
      <c r="E224" s="12" t="s">
        <v>10</v>
      </c>
      <c r="F224" s="3" t="s">
        <v>9</v>
      </c>
      <c r="G224" s="19">
        <v>0</v>
      </c>
      <c r="H224" s="19">
        <v>0</v>
      </c>
      <c r="I224" s="19">
        <v>0</v>
      </c>
      <c r="J224" s="87"/>
    </row>
    <row r="225" spans="1:10" ht="36.75" customHeight="1" x14ac:dyDescent="0.25">
      <c r="A225" s="69"/>
      <c r="B225" s="69"/>
      <c r="C225" s="68"/>
      <c r="D225" s="68"/>
      <c r="E225" s="12" t="s">
        <v>11</v>
      </c>
      <c r="F225" s="3" t="s">
        <v>9</v>
      </c>
      <c r="G225" s="19">
        <f>763126.47+110427.68+183627.02+202243.63+126087.41</f>
        <v>1385512.2099999997</v>
      </c>
      <c r="H225" s="19">
        <v>0</v>
      </c>
      <c r="I225" s="19">
        <v>3074500</v>
      </c>
      <c r="J225" s="88"/>
    </row>
    <row r="226" spans="1:10" ht="36.75" customHeight="1" x14ac:dyDescent="0.25">
      <c r="A226" s="69" t="s">
        <v>278</v>
      </c>
      <c r="B226" s="69" t="s">
        <v>214</v>
      </c>
      <c r="C226" s="68">
        <v>45292</v>
      </c>
      <c r="D226" s="68">
        <v>45657</v>
      </c>
      <c r="E226" s="34" t="s">
        <v>6</v>
      </c>
      <c r="F226" s="35" t="s">
        <v>45</v>
      </c>
      <c r="G226" s="19">
        <f>SUM(G227:G229)</f>
        <v>2626591.88</v>
      </c>
      <c r="H226" s="19">
        <f t="shared" ref="H226:I226" si="58">SUM(H227:H229)</f>
        <v>0</v>
      </c>
      <c r="I226" s="19">
        <f t="shared" si="58"/>
        <v>0</v>
      </c>
      <c r="J226" s="69" t="s">
        <v>211</v>
      </c>
    </row>
    <row r="227" spans="1:10" ht="30.75" customHeight="1" x14ac:dyDescent="0.25">
      <c r="A227" s="69"/>
      <c r="B227" s="69"/>
      <c r="C227" s="68"/>
      <c r="D227" s="68"/>
      <c r="E227" s="34" t="s">
        <v>8</v>
      </c>
      <c r="F227" s="35" t="s">
        <v>9</v>
      </c>
      <c r="G227" s="19">
        <v>0</v>
      </c>
      <c r="H227" s="19">
        <v>0</v>
      </c>
      <c r="I227" s="19">
        <v>0</v>
      </c>
      <c r="J227" s="69"/>
    </row>
    <row r="228" spans="1:10" ht="30.75" customHeight="1" x14ac:dyDescent="0.25">
      <c r="A228" s="69"/>
      <c r="B228" s="69"/>
      <c r="C228" s="68"/>
      <c r="D228" s="68"/>
      <c r="E228" s="34" t="s">
        <v>10</v>
      </c>
      <c r="F228" s="35" t="s">
        <v>9</v>
      </c>
      <c r="G228" s="19">
        <v>0</v>
      </c>
      <c r="H228" s="19">
        <v>0</v>
      </c>
      <c r="I228" s="19">
        <v>0</v>
      </c>
      <c r="J228" s="69"/>
    </row>
    <row r="229" spans="1:10" ht="30.75" customHeight="1" x14ac:dyDescent="0.25">
      <c r="A229" s="69"/>
      <c r="B229" s="69"/>
      <c r="C229" s="68"/>
      <c r="D229" s="68"/>
      <c r="E229" s="34" t="s">
        <v>11</v>
      </c>
      <c r="F229" s="35" t="s">
        <v>9</v>
      </c>
      <c r="G229" s="19">
        <f>126087.41+122700+1730753.63+147050.84+500000</f>
        <v>2626591.88</v>
      </c>
      <c r="H229" s="19">
        <v>0</v>
      </c>
      <c r="I229" s="19">
        <v>0</v>
      </c>
      <c r="J229" s="69"/>
    </row>
    <row r="230" spans="1:10" ht="22.5" customHeight="1" x14ac:dyDescent="0.25">
      <c r="A230" s="69" t="s">
        <v>258</v>
      </c>
      <c r="B230" s="69" t="s">
        <v>125</v>
      </c>
      <c r="C230" s="68">
        <v>45292</v>
      </c>
      <c r="D230" s="68">
        <v>45657</v>
      </c>
      <c r="E230" s="12" t="s">
        <v>6</v>
      </c>
      <c r="F230" s="3" t="s">
        <v>45</v>
      </c>
      <c r="G230" s="19">
        <f>SUM(G231:G233)</f>
        <v>1161048.8</v>
      </c>
      <c r="H230" s="19">
        <f t="shared" ref="H230:I230" si="59">SUM(H231:H233)</f>
        <v>0</v>
      </c>
      <c r="I230" s="19">
        <f t="shared" si="59"/>
        <v>0</v>
      </c>
      <c r="J230" s="69" t="s">
        <v>215</v>
      </c>
    </row>
    <row r="231" spans="1:10" ht="22.5" customHeight="1" x14ac:dyDescent="0.25">
      <c r="A231" s="69"/>
      <c r="B231" s="69"/>
      <c r="C231" s="68"/>
      <c r="D231" s="68"/>
      <c r="E231" s="12" t="s">
        <v>8</v>
      </c>
      <c r="F231" s="3" t="s">
        <v>9</v>
      </c>
      <c r="G231" s="19">
        <v>0</v>
      </c>
      <c r="H231" s="19">
        <v>0</v>
      </c>
      <c r="I231" s="19">
        <v>0</v>
      </c>
      <c r="J231" s="69"/>
    </row>
    <row r="232" spans="1:10" ht="22.5" customHeight="1" x14ac:dyDescent="0.25">
      <c r="A232" s="69"/>
      <c r="B232" s="69"/>
      <c r="C232" s="68"/>
      <c r="D232" s="68"/>
      <c r="E232" s="12" t="s">
        <v>10</v>
      </c>
      <c r="F232" s="3" t="s">
        <v>9</v>
      </c>
      <c r="G232" s="19">
        <v>0</v>
      </c>
      <c r="H232" s="19">
        <v>0</v>
      </c>
      <c r="I232" s="19">
        <v>0</v>
      </c>
      <c r="J232" s="69"/>
    </row>
    <row r="233" spans="1:10" ht="22.5" customHeight="1" x14ac:dyDescent="0.25">
      <c r="A233" s="69"/>
      <c r="B233" s="69"/>
      <c r="C233" s="68"/>
      <c r="D233" s="68"/>
      <c r="E233" s="12" t="s">
        <v>11</v>
      </c>
      <c r="F233" s="3" t="s">
        <v>9</v>
      </c>
      <c r="G233" s="19">
        <f>100000+1061048.8</f>
        <v>1161048.8</v>
      </c>
      <c r="H233" s="19">
        <v>0</v>
      </c>
      <c r="I233" s="19">
        <v>0</v>
      </c>
      <c r="J233" s="69"/>
    </row>
    <row r="234" spans="1:10" ht="37.5" customHeight="1" x14ac:dyDescent="0.25">
      <c r="A234" s="69" t="s">
        <v>230</v>
      </c>
      <c r="B234" s="69" t="s">
        <v>120</v>
      </c>
      <c r="C234" s="68">
        <v>45292</v>
      </c>
      <c r="D234" s="68">
        <v>45657</v>
      </c>
      <c r="E234" s="12" t="s">
        <v>6</v>
      </c>
      <c r="F234" s="3" t="s">
        <v>45</v>
      </c>
      <c r="G234" s="19">
        <f>SUM(G235:G237)</f>
        <v>2402447.87</v>
      </c>
      <c r="H234" s="19">
        <f t="shared" ref="H234:I234" si="60">SUM(H235:H237)</f>
        <v>0</v>
      </c>
      <c r="I234" s="19">
        <f t="shared" si="60"/>
        <v>0</v>
      </c>
      <c r="J234" s="69" t="s">
        <v>213</v>
      </c>
    </row>
    <row r="235" spans="1:10" ht="37.5" customHeight="1" x14ac:dyDescent="0.25">
      <c r="A235" s="69"/>
      <c r="B235" s="69"/>
      <c r="C235" s="68"/>
      <c r="D235" s="68"/>
      <c r="E235" s="12" t="s">
        <v>8</v>
      </c>
      <c r="F235" s="3" t="s">
        <v>9</v>
      </c>
      <c r="G235" s="19">
        <v>0</v>
      </c>
      <c r="H235" s="19">
        <v>0</v>
      </c>
      <c r="I235" s="19">
        <v>0</v>
      </c>
      <c r="J235" s="69"/>
    </row>
    <row r="236" spans="1:10" ht="37.5" customHeight="1" x14ac:dyDescent="0.25">
      <c r="A236" s="69"/>
      <c r="B236" s="69"/>
      <c r="C236" s="68"/>
      <c r="D236" s="68"/>
      <c r="E236" s="12" t="s">
        <v>10</v>
      </c>
      <c r="F236" s="3" t="s">
        <v>9</v>
      </c>
      <c r="G236" s="19">
        <v>0</v>
      </c>
      <c r="H236" s="19">
        <v>0</v>
      </c>
      <c r="I236" s="19">
        <v>0</v>
      </c>
      <c r="J236" s="69"/>
    </row>
    <row r="237" spans="1:10" ht="37.5" customHeight="1" x14ac:dyDescent="0.25">
      <c r="A237" s="69"/>
      <c r="B237" s="69"/>
      <c r="C237" s="68"/>
      <c r="D237" s="68"/>
      <c r="E237" s="12" t="s">
        <v>11</v>
      </c>
      <c r="F237" s="3" t="s">
        <v>9</v>
      </c>
      <c r="G237" s="19">
        <f>502438.92+56718.51+750000+126174.53+403094.1+64021.81+500000</f>
        <v>2402447.87</v>
      </c>
      <c r="H237" s="19">
        <v>0</v>
      </c>
      <c r="I237" s="19">
        <v>0</v>
      </c>
      <c r="J237" s="69"/>
    </row>
    <row r="238" spans="1:10" ht="23.25" customHeight="1" x14ac:dyDescent="0.25">
      <c r="A238" s="69" t="s">
        <v>303</v>
      </c>
      <c r="B238" s="69" t="s">
        <v>155</v>
      </c>
      <c r="C238" s="68">
        <v>45292</v>
      </c>
      <c r="D238" s="68">
        <v>45657</v>
      </c>
      <c r="E238" s="34" t="s">
        <v>6</v>
      </c>
      <c r="F238" s="35" t="s">
        <v>45</v>
      </c>
      <c r="G238" s="19">
        <f>SUM(G239:G241)</f>
        <v>3087895.21</v>
      </c>
      <c r="H238" s="19">
        <f t="shared" ref="H238:I238" si="61">SUM(H239:H241)</f>
        <v>0</v>
      </c>
      <c r="I238" s="19">
        <f t="shared" si="61"/>
        <v>0</v>
      </c>
      <c r="J238" s="69" t="s">
        <v>118</v>
      </c>
    </row>
    <row r="239" spans="1:10" ht="27.75" customHeight="1" x14ac:dyDescent="0.25">
      <c r="A239" s="69"/>
      <c r="B239" s="69"/>
      <c r="C239" s="68"/>
      <c r="D239" s="68"/>
      <c r="E239" s="34" t="s">
        <v>8</v>
      </c>
      <c r="F239" s="35" t="s">
        <v>9</v>
      </c>
      <c r="G239" s="19">
        <v>0</v>
      </c>
      <c r="H239" s="19">
        <v>0</v>
      </c>
      <c r="I239" s="19">
        <v>0</v>
      </c>
      <c r="J239" s="69"/>
    </row>
    <row r="240" spans="1:10" ht="27.75" customHeight="1" x14ac:dyDescent="0.25">
      <c r="A240" s="69"/>
      <c r="B240" s="69"/>
      <c r="C240" s="68"/>
      <c r="D240" s="68"/>
      <c r="E240" s="34" t="s">
        <v>10</v>
      </c>
      <c r="F240" s="35" t="s">
        <v>9</v>
      </c>
      <c r="G240" s="19">
        <v>0</v>
      </c>
      <c r="H240" s="19">
        <v>0</v>
      </c>
      <c r="I240" s="19">
        <v>0</v>
      </c>
      <c r="J240" s="69"/>
    </row>
    <row r="241" spans="1:10" ht="27.75" customHeight="1" x14ac:dyDescent="0.25">
      <c r="A241" s="69"/>
      <c r="B241" s="69"/>
      <c r="C241" s="68"/>
      <c r="D241" s="68"/>
      <c r="E241" s="34" t="s">
        <v>11</v>
      </c>
      <c r="F241" s="35" t="s">
        <v>9</v>
      </c>
      <c r="G241" s="19">
        <f>1502557+547907.7+260000+777430.51</f>
        <v>3087895.21</v>
      </c>
      <c r="H241" s="19">
        <v>0</v>
      </c>
      <c r="I241" s="19">
        <v>0</v>
      </c>
      <c r="J241" s="69"/>
    </row>
    <row r="242" spans="1:10" ht="34.5" customHeight="1" x14ac:dyDescent="0.25">
      <c r="A242" s="69" t="s">
        <v>229</v>
      </c>
      <c r="B242" s="69" t="s">
        <v>130</v>
      </c>
      <c r="C242" s="68">
        <v>45292</v>
      </c>
      <c r="D242" s="68">
        <v>46022</v>
      </c>
      <c r="E242" s="12" t="s">
        <v>6</v>
      </c>
      <c r="F242" s="3" t="s">
        <v>45</v>
      </c>
      <c r="G242" s="19">
        <f>SUM(G243:G245)</f>
        <v>2410843.66</v>
      </c>
      <c r="H242" s="19">
        <f t="shared" ref="H242:I242" si="62">SUM(H243:H245)</f>
        <v>519800</v>
      </c>
      <c r="I242" s="19">
        <f t="shared" si="62"/>
        <v>0</v>
      </c>
      <c r="J242" s="69" t="s">
        <v>118</v>
      </c>
    </row>
    <row r="243" spans="1:10" ht="34.5" customHeight="1" x14ac:dyDescent="0.25">
      <c r="A243" s="69"/>
      <c r="B243" s="69"/>
      <c r="C243" s="68"/>
      <c r="D243" s="68"/>
      <c r="E243" s="12" t="s">
        <v>8</v>
      </c>
      <c r="F243" s="3" t="s">
        <v>9</v>
      </c>
      <c r="G243" s="19">
        <v>0</v>
      </c>
      <c r="H243" s="19">
        <v>0</v>
      </c>
      <c r="I243" s="19">
        <v>0</v>
      </c>
      <c r="J243" s="69"/>
    </row>
    <row r="244" spans="1:10" ht="34.5" customHeight="1" x14ac:dyDescent="0.25">
      <c r="A244" s="69"/>
      <c r="B244" s="69"/>
      <c r="C244" s="68"/>
      <c r="D244" s="68"/>
      <c r="E244" s="12" t="s">
        <v>10</v>
      </c>
      <c r="F244" s="3" t="s">
        <v>9</v>
      </c>
      <c r="G244" s="19">
        <v>0</v>
      </c>
      <c r="H244" s="19">
        <v>0</v>
      </c>
      <c r="I244" s="19">
        <v>0</v>
      </c>
      <c r="J244" s="69"/>
    </row>
    <row r="245" spans="1:10" ht="34.5" customHeight="1" x14ac:dyDescent="0.25">
      <c r="A245" s="69"/>
      <c r="B245" s="69"/>
      <c r="C245" s="68"/>
      <c r="D245" s="68"/>
      <c r="E245" s="12" t="s">
        <v>11</v>
      </c>
      <c r="F245" s="3" t="s">
        <v>9</v>
      </c>
      <c r="G245" s="19">
        <f>2376393.66+34450</f>
        <v>2410843.66</v>
      </c>
      <c r="H245" s="19">
        <v>519800</v>
      </c>
      <c r="I245" s="19">
        <v>0</v>
      </c>
      <c r="J245" s="69"/>
    </row>
    <row r="246" spans="1:10" ht="27" customHeight="1" x14ac:dyDescent="0.25">
      <c r="A246" s="69" t="s">
        <v>261</v>
      </c>
      <c r="B246" s="69" t="s">
        <v>121</v>
      </c>
      <c r="C246" s="68">
        <v>45292</v>
      </c>
      <c r="D246" s="68">
        <v>45657</v>
      </c>
      <c r="E246" s="12" t="s">
        <v>6</v>
      </c>
      <c r="F246" s="3" t="s">
        <v>45</v>
      </c>
      <c r="G246" s="19">
        <f>SUM(G247:G249)</f>
        <v>597896.37</v>
      </c>
      <c r="H246" s="19">
        <f t="shared" ref="H246:I246" si="63">SUM(H247:H249)</f>
        <v>0</v>
      </c>
      <c r="I246" s="19">
        <f t="shared" si="63"/>
        <v>0</v>
      </c>
      <c r="J246" s="69" t="s">
        <v>118</v>
      </c>
    </row>
    <row r="247" spans="1:10" ht="27" customHeight="1" x14ac:dyDescent="0.25">
      <c r="A247" s="69"/>
      <c r="B247" s="69"/>
      <c r="C247" s="68"/>
      <c r="D247" s="68"/>
      <c r="E247" s="12" t="s">
        <v>8</v>
      </c>
      <c r="F247" s="3" t="s">
        <v>9</v>
      </c>
      <c r="G247" s="19">
        <v>0</v>
      </c>
      <c r="H247" s="19">
        <v>0</v>
      </c>
      <c r="I247" s="19">
        <v>0</v>
      </c>
      <c r="J247" s="69"/>
    </row>
    <row r="248" spans="1:10" ht="27" customHeight="1" x14ac:dyDescent="0.25">
      <c r="A248" s="69"/>
      <c r="B248" s="69"/>
      <c r="C248" s="68"/>
      <c r="D248" s="68"/>
      <c r="E248" s="12" t="s">
        <v>10</v>
      </c>
      <c r="F248" s="3" t="s">
        <v>9</v>
      </c>
      <c r="G248" s="19">
        <v>0</v>
      </c>
      <c r="H248" s="19">
        <v>0</v>
      </c>
      <c r="I248" s="19">
        <v>0</v>
      </c>
      <c r="J248" s="69"/>
    </row>
    <row r="249" spans="1:10" ht="27" customHeight="1" x14ac:dyDescent="0.25">
      <c r="A249" s="69"/>
      <c r="B249" s="69"/>
      <c r="C249" s="68"/>
      <c r="D249" s="68"/>
      <c r="E249" s="12" t="s">
        <v>11</v>
      </c>
      <c r="F249" s="3" t="s">
        <v>9</v>
      </c>
      <c r="G249" s="19">
        <f>520300+279840-202243.63</f>
        <v>597896.37</v>
      </c>
      <c r="H249" s="19">
        <v>0</v>
      </c>
      <c r="I249" s="19">
        <v>0</v>
      </c>
      <c r="J249" s="69"/>
    </row>
    <row r="250" spans="1:10" ht="27" customHeight="1" x14ac:dyDescent="0.25">
      <c r="A250" s="69" t="s">
        <v>302</v>
      </c>
      <c r="B250" s="69" t="s">
        <v>132</v>
      </c>
      <c r="C250" s="68">
        <v>45292</v>
      </c>
      <c r="D250" s="68">
        <v>45657</v>
      </c>
      <c r="E250" s="12" t="s">
        <v>6</v>
      </c>
      <c r="F250" s="3" t="s">
        <v>45</v>
      </c>
      <c r="G250" s="19">
        <f>SUM(G251:G253)</f>
        <v>947680</v>
      </c>
      <c r="H250" s="19">
        <f t="shared" ref="H250:I250" si="64">SUM(H251:H253)</f>
        <v>0</v>
      </c>
      <c r="I250" s="19">
        <f t="shared" si="64"/>
        <v>0</v>
      </c>
      <c r="J250" s="69" t="s">
        <v>216</v>
      </c>
    </row>
    <row r="251" spans="1:10" ht="27" customHeight="1" x14ac:dyDescent="0.25">
      <c r="A251" s="69"/>
      <c r="B251" s="69"/>
      <c r="C251" s="68"/>
      <c r="D251" s="68"/>
      <c r="E251" s="12" t="s">
        <v>8</v>
      </c>
      <c r="F251" s="3" t="s">
        <v>9</v>
      </c>
      <c r="G251" s="19">
        <v>0</v>
      </c>
      <c r="H251" s="19">
        <v>0</v>
      </c>
      <c r="I251" s="19">
        <v>0</v>
      </c>
      <c r="J251" s="69"/>
    </row>
    <row r="252" spans="1:10" ht="27" customHeight="1" x14ac:dyDescent="0.25">
      <c r="A252" s="69"/>
      <c r="B252" s="69"/>
      <c r="C252" s="68"/>
      <c r="D252" s="68"/>
      <c r="E252" s="12" t="s">
        <v>10</v>
      </c>
      <c r="F252" s="3" t="s">
        <v>9</v>
      </c>
      <c r="G252" s="19">
        <v>0</v>
      </c>
      <c r="H252" s="19">
        <v>0</v>
      </c>
      <c r="I252" s="19">
        <v>0</v>
      </c>
      <c r="J252" s="69"/>
    </row>
    <row r="253" spans="1:10" ht="27" customHeight="1" x14ac:dyDescent="0.25">
      <c r="A253" s="69"/>
      <c r="B253" s="69"/>
      <c r="C253" s="68"/>
      <c r="D253" s="68"/>
      <c r="E253" s="12" t="s">
        <v>11</v>
      </c>
      <c r="F253" s="3" t="s">
        <v>9</v>
      </c>
      <c r="G253" s="19">
        <f>263400+336600+287200+60480</f>
        <v>947680</v>
      </c>
      <c r="H253" s="19">
        <v>0</v>
      </c>
      <c r="I253" s="19">
        <v>0</v>
      </c>
      <c r="J253" s="69"/>
    </row>
    <row r="254" spans="1:10" ht="47.25" customHeight="1" x14ac:dyDescent="0.25">
      <c r="A254" s="69" t="s">
        <v>294</v>
      </c>
      <c r="B254" s="69" t="s">
        <v>56</v>
      </c>
      <c r="C254" s="68">
        <v>45292</v>
      </c>
      <c r="D254" s="68">
        <v>45657</v>
      </c>
      <c r="E254" s="12" t="s">
        <v>6</v>
      </c>
      <c r="F254" s="3" t="s">
        <v>45</v>
      </c>
      <c r="G254" s="19">
        <f>SUM(G255:G257)</f>
        <v>770048.82000000007</v>
      </c>
      <c r="H254" s="19">
        <f t="shared" ref="H254:I254" si="65">SUM(H255:H257)</f>
        <v>0</v>
      </c>
      <c r="I254" s="19">
        <f t="shared" si="65"/>
        <v>0</v>
      </c>
      <c r="J254" s="69" t="s">
        <v>150</v>
      </c>
    </row>
    <row r="255" spans="1:10" ht="47.25" customHeight="1" x14ac:dyDescent="0.25">
      <c r="A255" s="69"/>
      <c r="B255" s="69"/>
      <c r="C255" s="68"/>
      <c r="D255" s="68"/>
      <c r="E255" s="12" t="s">
        <v>8</v>
      </c>
      <c r="F255" s="3" t="s">
        <v>9</v>
      </c>
      <c r="G255" s="19">
        <v>0</v>
      </c>
      <c r="H255" s="19">
        <v>0</v>
      </c>
      <c r="I255" s="19">
        <v>0</v>
      </c>
      <c r="J255" s="69"/>
    </row>
    <row r="256" spans="1:10" ht="47.25" customHeight="1" x14ac:dyDescent="0.25">
      <c r="A256" s="69"/>
      <c r="B256" s="69"/>
      <c r="C256" s="68"/>
      <c r="D256" s="68"/>
      <c r="E256" s="12" t="s">
        <v>10</v>
      </c>
      <c r="F256" s="3" t="s">
        <v>9</v>
      </c>
      <c r="G256" s="19">
        <v>0</v>
      </c>
      <c r="H256" s="19">
        <v>0</v>
      </c>
      <c r="I256" s="19">
        <v>0</v>
      </c>
      <c r="J256" s="69"/>
    </row>
    <row r="257" spans="1:10" ht="47.25" customHeight="1" x14ac:dyDescent="0.25">
      <c r="A257" s="69"/>
      <c r="B257" s="69"/>
      <c r="C257" s="68"/>
      <c r="D257" s="68"/>
      <c r="E257" s="12" t="s">
        <v>11</v>
      </c>
      <c r="F257" s="3" t="s">
        <v>9</v>
      </c>
      <c r="G257" s="19">
        <f>27327.68+250000+123358.85+34450+121341.4+61000+121341.35+31229.54</f>
        <v>770048.82000000007</v>
      </c>
      <c r="H257" s="19">
        <v>0</v>
      </c>
      <c r="I257" s="19">
        <v>0</v>
      </c>
      <c r="J257" s="69"/>
    </row>
    <row r="258" spans="1:10" ht="25.5" customHeight="1" x14ac:dyDescent="0.25">
      <c r="A258" s="70" t="s">
        <v>298</v>
      </c>
      <c r="B258" s="70" t="s">
        <v>174</v>
      </c>
      <c r="C258" s="68">
        <v>45292</v>
      </c>
      <c r="D258" s="68">
        <v>45657</v>
      </c>
      <c r="E258" s="25" t="s">
        <v>6</v>
      </c>
      <c r="F258" s="26" t="s">
        <v>45</v>
      </c>
      <c r="G258" s="27">
        <f>SUM(G259:G261)</f>
        <v>275978.19</v>
      </c>
      <c r="H258" s="27">
        <f t="shared" ref="H258:I258" si="66">SUM(H259:H261)</f>
        <v>0</v>
      </c>
      <c r="I258" s="27">
        <f t="shared" si="66"/>
        <v>0</v>
      </c>
      <c r="J258" s="69" t="s">
        <v>150</v>
      </c>
    </row>
    <row r="259" spans="1:10" ht="25.5" customHeight="1" x14ac:dyDescent="0.25">
      <c r="A259" s="70"/>
      <c r="B259" s="70"/>
      <c r="C259" s="68"/>
      <c r="D259" s="68"/>
      <c r="E259" s="25" t="s">
        <v>8</v>
      </c>
      <c r="F259" s="26" t="s">
        <v>9</v>
      </c>
      <c r="G259" s="27">
        <v>0</v>
      </c>
      <c r="H259" s="27">
        <v>0</v>
      </c>
      <c r="I259" s="27">
        <v>0</v>
      </c>
      <c r="J259" s="69"/>
    </row>
    <row r="260" spans="1:10" ht="25.5" customHeight="1" x14ac:dyDescent="0.25">
      <c r="A260" s="70"/>
      <c r="B260" s="70"/>
      <c r="C260" s="68"/>
      <c r="D260" s="68"/>
      <c r="E260" s="25" t="s">
        <v>10</v>
      </c>
      <c r="F260" s="26" t="s">
        <v>9</v>
      </c>
      <c r="G260" s="27">
        <v>0</v>
      </c>
      <c r="H260" s="27">
        <v>0</v>
      </c>
      <c r="I260" s="27">
        <v>0</v>
      </c>
      <c r="J260" s="69"/>
    </row>
    <row r="261" spans="1:10" ht="27.75" customHeight="1" x14ac:dyDescent="0.25">
      <c r="A261" s="70"/>
      <c r="B261" s="70"/>
      <c r="C261" s="68"/>
      <c r="D261" s="68"/>
      <c r="E261" s="25" t="s">
        <v>11</v>
      </c>
      <c r="F261" s="26" t="s">
        <v>9</v>
      </c>
      <c r="G261" s="4">
        <f>100000-64021.81+240000</f>
        <v>275978.19</v>
      </c>
      <c r="H261" s="27">
        <v>0</v>
      </c>
      <c r="I261" s="27">
        <v>0</v>
      </c>
      <c r="J261" s="69"/>
    </row>
    <row r="262" spans="1:10" ht="25.5" customHeight="1" x14ac:dyDescent="0.25">
      <c r="A262" s="70" t="s">
        <v>177</v>
      </c>
      <c r="B262" s="70" t="s">
        <v>176</v>
      </c>
      <c r="C262" s="68">
        <v>45292</v>
      </c>
      <c r="D262" s="68">
        <v>45657</v>
      </c>
      <c r="E262" s="25" t="s">
        <v>6</v>
      </c>
      <c r="F262" s="26" t="s">
        <v>45</v>
      </c>
      <c r="G262" s="27">
        <f>SUM(G263:G265)</f>
        <v>230000</v>
      </c>
      <c r="H262" s="27">
        <f t="shared" ref="H262:I262" si="67">SUM(H263:H265)</f>
        <v>0</v>
      </c>
      <c r="I262" s="27">
        <f t="shared" si="67"/>
        <v>0</v>
      </c>
      <c r="J262" s="70" t="s">
        <v>178</v>
      </c>
    </row>
    <row r="263" spans="1:10" ht="25.5" customHeight="1" x14ac:dyDescent="0.25">
      <c r="A263" s="70"/>
      <c r="B263" s="70"/>
      <c r="C263" s="68"/>
      <c r="D263" s="68"/>
      <c r="E263" s="25" t="s">
        <v>8</v>
      </c>
      <c r="F263" s="26" t="s">
        <v>9</v>
      </c>
      <c r="G263" s="27">
        <v>0</v>
      </c>
      <c r="H263" s="27">
        <v>0</v>
      </c>
      <c r="I263" s="27">
        <v>0</v>
      </c>
      <c r="J263" s="70"/>
    </row>
    <row r="264" spans="1:10" ht="25.5" customHeight="1" x14ac:dyDescent="0.25">
      <c r="A264" s="70"/>
      <c r="B264" s="70"/>
      <c r="C264" s="68"/>
      <c r="D264" s="68"/>
      <c r="E264" s="25" t="s">
        <v>10</v>
      </c>
      <c r="F264" s="26" t="s">
        <v>9</v>
      </c>
      <c r="G264" s="27">
        <v>0</v>
      </c>
      <c r="H264" s="27">
        <v>0</v>
      </c>
      <c r="I264" s="27">
        <v>0</v>
      </c>
      <c r="J264" s="70"/>
    </row>
    <row r="265" spans="1:10" ht="25.5" customHeight="1" x14ac:dyDescent="0.25">
      <c r="A265" s="70"/>
      <c r="B265" s="70"/>
      <c r="C265" s="68"/>
      <c r="D265" s="68"/>
      <c r="E265" s="25" t="s">
        <v>11</v>
      </c>
      <c r="F265" s="26" t="s">
        <v>9</v>
      </c>
      <c r="G265" s="27">
        <v>230000</v>
      </c>
      <c r="H265" s="27">
        <v>0</v>
      </c>
      <c r="I265" s="27">
        <v>0</v>
      </c>
      <c r="J265" s="70"/>
    </row>
    <row r="266" spans="1:10" ht="25.5" customHeight="1" x14ac:dyDescent="0.25">
      <c r="A266" s="70" t="s">
        <v>217</v>
      </c>
      <c r="B266" s="70" t="s">
        <v>173</v>
      </c>
      <c r="C266" s="71">
        <v>45292</v>
      </c>
      <c r="D266" s="71">
        <v>45657</v>
      </c>
      <c r="E266" s="33" t="s">
        <v>6</v>
      </c>
      <c r="F266" s="26" t="s">
        <v>45</v>
      </c>
      <c r="G266" s="27">
        <f>SUM(G267:G269)</f>
        <v>34450</v>
      </c>
      <c r="H266" s="27">
        <f t="shared" ref="H266:I266" si="68">SUM(H267:H269)</f>
        <v>0</v>
      </c>
      <c r="I266" s="27">
        <f t="shared" si="68"/>
        <v>0</v>
      </c>
      <c r="J266" s="70" t="s">
        <v>114</v>
      </c>
    </row>
    <row r="267" spans="1:10" ht="25.5" customHeight="1" x14ac:dyDescent="0.25">
      <c r="A267" s="70"/>
      <c r="B267" s="70"/>
      <c r="C267" s="71"/>
      <c r="D267" s="71"/>
      <c r="E267" s="33" t="s">
        <v>8</v>
      </c>
      <c r="F267" s="26" t="s">
        <v>9</v>
      </c>
      <c r="G267" s="27">
        <v>0</v>
      </c>
      <c r="H267" s="27">
        <v>0</v>
      </c>
      <c r="I267" s="27">
        <v>0</v>
      </c>
      <c r="J267" s="70"/>
    </row>
    <row r="268" spans="1:10" ht="25.5" customHeight="1" x14ac:dyDescent="0.25">
      <c r="A268" s="70"/>
      <c r="B268" s="70"/>
      <c r="C268" s="71"/>
      <c r="D268" s="71"/>
      <c r="E268" s="33" t="s">
        <v>10</v>
      </c>
      <c r="F268" s="26" t="s">
        <v>9</v>
      </c>
      <c r="G268" s="27">
        <v>0</v>
      </c>
      <c r="H268" s="27">
        <v>0</v>
      </c>
      <c r="I268" s="27">
        <v>0</v>
      </c>
      <c r="J268" s="70"/>
    </row>
    <row r="269" spans="1:10" ht="25.5" customHeight="1" x14ac:dyDescent="0.25">
      <c r="A269" s="70"/>
      <c r="B269" s="70"/>
      <c r="C269" s="71"/>
      <c r="D269" s="71"/>
      <c r="E269" s="33" t="s">
        <v>11</v>
      </c>
      <c r="F269" s="26" t="s">
        <v>9</v>
      </c>
      <c r="G269" s="27">
        <v>34450</v>
      </c>
      <c r="H269" s="27">
        <v>0</v>
      </c>
      <c r="I269" s="27">
        <v>0</v>
      </c>
      <c r="J269" s="70"/>
    </row>
    <row r="270" spans="1:10" ht="48.75" customHeight="1" x14ac:dyDescent="0.25">
      <c r="A270" s="69" t="s">
        <v>152</v>
      </c>
      <c r="B270" s="69" t="s">
        <v>108</v>
      </c>
      <c r="C270" s="68">
        <v>45292</v>
      </c>
      <c r="D270" s="68">
        <v>46022</v>
      </c>
      <c r="E270" s="12" t="s">
        <v>6</v>
      </c>
      <c r="F270" s="3" t="s">
        <v>107</v>
      </c>
      <c r="G270" s="19">
        <f>SUM(G271:G273)</f>
        <v>2000000</v>
      </c>
      <c r="H270" s="19">
        <f t="shared" ref="H270:I270" si="69">SUM(H271:H273)</f>
        <v>2243582.09</v>
      </c>
      <c r="I270" s="19">
        <f t="shared" si="69"/>
        <v>0</v>
      </c>
      <c r="J270" s="69" t="s">
        <v>34</v>
      </c>
    </row>
    <row r="271" spans="1:10" ht="48.75" customHeight="1" x14ac:dyDescent="0.25">
      <c r="A271" s="69"/>
      <c r="B271" s="69"/>
      <c r="C271" s="68"/>
      <c r="D271" s="68"/>
      <c r="E271" s="12" t="s">
        <v>8</v>
      </c>
      <c r="F271" s="3" t="s">
        <v>9</v>
      </c>
      <c r="G271" s="19">
        <v>0</v>
      </c>
      <c r="H271" s="19">
        <v>0</v>
      </c>
      <c r="I271" s="19">
        <v>0</v>
      </c>
      <c r="J271" s="69"/>
    </row>
    <row r="272" spans="1:10" ht="48.75" customHeight="1" x14ac:dyDescent="0.25">
      <c r="A272" s="69"/>
      <c r="B272" s="69"/>
      <c r="C272" s="68"/>
      <c r="D272" s="68"/>
      <c r="E272" s="12" t="s">
        <v>10</v>
      </c>
      <c r="F272" s="3" t="s">
        <v>9</v>
      </c>
      <c r="G272" s="9">
        <v>1884600</v>
      </c>
      <c r="H272" s="9">
        <v>2114127.4</v>
      </c>
      <c r="I272" s="19">
        <v>0</v>
      </c>
      <c r="J272" s="69"/>
    </row>
    <row r="273" spans="1:10" ht="48.75" customHeight="1" x14ac:dyDescent="0.25">
      <c r="A273" s="69"/>
      <c r="B273" s="69"/>
      <c r="C273" s="68"/>
      <c r="D273" s="68"/>
      <c r="E273" s="12" t="s">
        <v>11</v>
      </c>
      <c r="F273" s="3" t="s">
        <v>9</v>
      </c>
      <c r="G273" s="9">
        <v>115400</v>
      </c>
      <c r="H273" s="9">
        <v>129454.68999999994</v>
      </c>
      <c r="I273" s="19">
        <v>0</v>
      </c>
      <c r="J273" s="69"/>
    </row>
    <row r="274" spans="1:10" ht="48" customHeight="1" x14ac:dyDescent="0.25">
      <c r="A274" s="69" t="s">
        <v>159</v>
      </c>
      <c r="B274" s="69" t="s">
        <v>151</v>
      </c>
      <c r="C274" s="68">
        <v>45292</v>
      </c>
      <c r="D274" s="68">
        <v>46387</v>
      </c>
      <c r="E274" s="12" t="s">
        <v>6</v>
      </c>
      <c r="F274" s="3" t="s">
        <v>107</v>
      </c>
      <c r="G274" s="19">
        <f>SUM(G275:G277)</f>
        <v>5285259.47</v>
      </c>
      <c r="H274" s="19">
        <f t="shared" ref="H274:I274" si="70">SUM(H275:H277)</f>
        <v>0</v>
      </c>
      <c r="I274" s="19">
        <f t="shared" si="70"/>
        <v>4670926.1899999995</v>
      </c>
      <c r="J274" s="69" t="s">
        <v>34</v>
      </c>
    </row>
    <row r="275" spans="1:10" ht="48" customHeight="1" x14ac:dyDescent="0.25">
      <c r="A275" s="69"/>
      <c r="B275" s="69"/>
      <c r="C275" s="68"/>
      <c r="D275" s="68"/>
      <c r="E275" s="12" t="s">
        <v>8</v>
      </c>
      <c r="F275" s="3" t="s">
        <v>9</v>
      </c>
      <c r="G275" s="19">
        <v>0</v>
      </c>
      <c r="H275" s="19">
        <v>0</v>
      </c>
      <c r="I275" s="19">
        <v>0</v>
      </c>
      <c r="J275" s="69"/>
    </row>
    <row r="276" spans="1:10" ht="48" customHeight="1" x14ac:dyDescent="0.25">
      <c r="A276" s="69"/>
      <c r="B276" s="69"/>
      <c r="C276" s="68"/>
      <c r="D276" s="68"/>
      <c r="E276" s="12" t="s">
        <v>10</v>
      </c>
      <c r="F276" s="3" t="s">
        <v>9</v>
      </c>
      <c r="G276" s="9">
        <v>4980300</v>
      </c>
      <c r="H276" s="19">
        <v>0</v>
      </c>
      <c r="I276" s="9">
        <v>4401413.75</v>
      </c>
      <c r="J276" s="69"/>
    </row>
    <row r="277" spans="1:10" ht="48" customHeight="1" x14ac:dyDescent="0.25">
      <c r="A277" s="69"/>
      <c r="B277" s="69"/>
      <c r="C277" s="68"/>
      <c r="D277" s="68"/>
      <c r="E277" s="12" t="s">
        <v>11</v>
      </c>
      <c r="F277" s="3" t="s">
        <v>9</v>
      </c>
      <c r="G277" s="9">
        <v>304959.46999999997</v>
      </c>
      <c r="H277" s="19">
        <v>0</v>
      </c>
      <c r="I277" s="9">
        <v>269512.43999999948</v>
      </c>
      <c r="J277" s="69"/>
    </row>
    <row r="278" spans="1:10" ht="48" customHeight="1" x14ac:dyDescent="0.25">
      <c r="A278" s="69" t="s">
        <v>160</v>
      </c>
      <c r="B278" s="69" t="s">
        <v>161</v>
      </c>
      <c r="C278" s="68">
        <v>46023</v>
      </c>
      <c r="D278" s="68">
        <v>46387</v>
      </c>
      <c r="E278" s="12" t="s">
        <v>6</v>
      </c>
      <c r="F278" s="3" t="s">
        <v>46</v>
      </c>
      <c r="G278" s="19">
        <f>SUM(G279:G281)</f>
        <v>0</v>
      </c>
      <c r="H278" s="19">
        <f t="shared" ref="H278:I278" si="71">SUM(H279:H281)</f>
        <v>0</v>
      </c>
      <c r="I278" s="19">
        <f t="shared" si="71"/>
        <v>4302641.5</v>
      </c>
      <c r="J278" s="69" t="s">
        <v>34</v>
      </c>
    </row>
    <row r="279" spans="1:10" ht="48" customHeight="1" x14ac:dyDescent="0.25">
      <c r="A279" s="69"/>
      <c r="B279" s="69"/>
      <c r="C279" s="68"/>
      <c r="D279" s="68"/>
      <c r="E279" s="12" t="s">
        <v>8</v>
      </c>
      <c r="F279" s="3" t="s">
        <v>9</v>
      </c>
      <c r="G279" s="19">
        <v>0</v>
      </c>
      <c r="H279" s="19">
        <v>0</v>
      </c>
      <c r="I279" s="19">
        <v>0</v>
      </c>
      <c r="J279" s="69"/>
    </row>
    <row r="280" spans="1:10" ht="48" customHeight="1" x14ac:dyDescent="0.25">
      <c r="A280" s="69"/>
      <c r="B280" s="69"/>
      <c r="C280" s="68"/>
      <c r="D280" s="68"/>
      <c r="E280" s="12" t="s">
        <v>10</v>
      </c>
      <c r="F280" s="3" t="s">
        <v>9</v>
      </c>
      <c r="G280" s="19">
        <v>0</v>
      </c>
      <c r="H280" s="9">
        <v>0</v>
      </c>
      <c r="I280" s="9">
        <v>4054379.09</v>
      </c>
      <c r="J280" s="69"/>
    </row>
    <row r="281" spans="1:10" ht="48" customHeight="1" x14ac:dyDescent="0.25">
      <c r="A281" s="69"/>
      <c r="B281" s="69"/>
      <c r="C281" s="68"/>
      <c r="D281" s="68"/>
      <c r="E281" s="12" t="s">
        <v>11</v>
      </c>
      <c r="F281" s="3" t="s">
        <v>9</v>
      </c>
      <c r="G281" s="19">
        <v>0</v>
      </c>
      <c r="H281" s="9">
        <v>0</v>
      </c>
      <c r="I281" s="9">
        <v>248262.41000000015</v>
      </c>
      <c r="J281" s="69"/>
    </row>
    <row r="282" spans="1:10" ht="48" customHeight="1" x14ac:dyDescent="0.25">
      <c r="A282" s="69" t="s">
        <v>154</v>
      </c>
      <c r="B282" s="69" t="s">
        <v>153</v>
      </c>
      <c r="C282" s="68">
        <v>45658</v>
      </c>
      <c r="D282" s="68">
        <v>46022</v>
      </c>
      <c r="E282" s="12" t="s">
        <v>6</v>
      </c>
      <c r="F282" s="3" t="s">
        <v>46</v>
      </c>
      <c r="G282" s="19">
        <f>SUM(G283:G285)</f>
        <v>0</v>
      </c>
      <c r="H282" s="19">
        <f t="shared" ref="H282:I282" si="72">SUM(H283:H285)</f>
        <v>7232413.79</v>
      </c>
      <c r="I282" s="19">
        <f t="shared" si="72"/>
        <v>0</v>
      </c>
      <c r="J282" s="69" t="s">
        <v>34</v>
      </c>
    </row>
    <row r="283" spans="1:10" ht="48" customHeight="1" x14ac:dyDescent="0.25">
      <c r="A283" s="69"/>
      <c r="B283" s="69"/>
      <c r="C283" s="68"/>
      <c r="D283" s="68"/>
      <c r="E283" s="12" t="s">
        <v>8</v>
      </c>
      <c r="F283" s="3" t="s">
        <v>9</v>
      </c>
      <c r="G283" s="19">
        <v>0</v>
      </c>
      <c r="H283" s="19">
        <v>0</v>
      </c>
      <c r="I283" s="19">
        <v>0</v>
      </c>
      <c r="J283" s="69"/>
    </row>
    <row r="284" spans="1:10" ht="48" customHeight="1" x14ac:dyDescent="0.25">
      <c r="A284" s="69"/>
      <c r="B284" s="69"/>
      <c r="C284" s="68"/>
      <c r="D284" s="68"/>
      <c r="E284" s="12" t="s">
        <v>10</v>
      </c>
      <c r="F284" s="3" t="s">
        <v>9</v>
      </c>
      <c r="G284" s="19">
        <v>0</v>
      </c>
      <c r="H284" s="9">
        <v>6815103.5099999998</v>
      </c>
      <c r="I284" s="19">
        <v>0</v>
      </c>
      <c r="J284" s="69"/>
    </row>
    <row r="285" spans="1:10" ht="48" customHeight="1" x14ac:dyDescent="0.25">
      <c r="A285" s="69"/>
      <c r="B285" s="69"/>
      <c r="C285" s="68"/>
      <c r="D285" s="68"/>
      <c r="E285" s="12" t="s">
        <v>11</v>
      </c>
      <c r="F285" s="3" t="s">
        <v>9</v>
      </c>
      <c r="G285" s="19">
        <v>0</v>
      </c>
      <c r="H285" s="9">
        <v>417310.28000000026</v>
      </c>
      <c r="I285" s="19">
        <v>0</v>
      </c>
      <c r="J285" s="69"/>
    </row>
    <row r="286" spans="1:10" ht="48" customHeight="1" x14ac:dyDescent="0.25">
      <c r="A286" s="69" t="s">
        <v>157</v>
      </c>
      <c r="B286" s="69" t="s">
        <v>155</v>
      </c>
      <c r="C286" s="68">
        <v>45658</v>
      </c>
      <c r="D286" s="68">
        <v>46387</v>
      </c>
      <c r="E286" s="12" t="s">
        <v>6</v>
      </c>
      <c r="F286" s="3" t="s">
        <v>46</v>
      </c>
      <c r="G286" s="19">
        <f>SUM(G287:G289)</f>
        <v>0</v>
      </c>
      <c r="H286" s="19">
        <f t="shared" ref="H286:I286" si="73">SUM(H287:H289)</f>
        <v>1297626.77</v>
      </c>
      <c r="I286" s="19">
        <f t="shared" si="73"/>
        <v>4441954.3499999996</v>
      </c>
      <c r="J286" s="69" t="s">
        <v>34</v>
      </c>
    </row>
    <row r="287" spans="1:10" ht="48" customHeight="1" x14ac:dyDescent="0.25">
      <c r="A287" s="69"/>
      <c r="B287" s="69"/>
      <c r="C287" s="68"/>
      <c r="D287" s="68"/>
      <c r="E287" s="12" t="s">
        <v>8</v>
      </c>
      <c r="F287" s="3" t="s">
        <v>9</v>
      </c>
      <c r="G287" s="19">
        <v>0</v>
      </c>
      <c r="H287" s="19">
        <v>0</v>
      </c>
      <c r="I287" s="19">
        <v>0</v>
      </c>
      <c r="J287" s="69"/>
    </row>
    <row r="288" spans="1:10" ht="48" customHeight="1" x14ac:dyDescent="0.25">
      <c r="A288" s="69"/>
      <c r="B288" s="69"/>
      <c r="C288" s="68"/>
      <c r="D288" s="68"/>
      <c r="E288" s="12" t="s">
        <v>10</v>
      </c>
      <c r="F288" s="3" t="s">
        <v>9</v>
      </c>
      <c r="G288" s="19">
        <v>0</v>
      </c>
      <c r="H288" s="9">
        <v>1222753.71</v>
      </c>
      <c r="I288" s="9">
        <v>4185653.58</v>
      </c>
      <c r="J288" s="69"/>
    </row>
    <row r="289" spans="1:10" ht="48" customHeight="1" x14ac:dyDescent="0.25">
      <c r="A289" s="69"/>
      <c r="B289" s="69"/>
      <c r="C289" s="68"/>
      <c r="D289" s="68"/>
      <c r="E289" s="12" t="s">
        <v>11</v>
      </c>
      <c r="F289" s="3" t="s">
        <v>9</v>
      </c>
      <c r="G289" s="19">
        <v>0</v>
      </c>
      <c r="H289" s="9">
        <v>74873.060000000056</v>
      </c>
      <c r="I289" s="9">
        <v>256300.76999999955</v>
      </c>
      <c r="J289" s="69"/>
    </row>
    <row r="290" spans="1:10" ht="48" customHeight="1" x14ac:dyDescent="0.25">
      <c r="A290" s="69" t="s">
        <v>158</v>
      </c>
      <c r="B290" s="69" t="s">
        <v>156</v>
      </c>
      <c r="C290" s="68">
        <v>45658</v>
      </c>
      <c r="D290" s="68">
        <v>46387</v>
      </c>
      <c r="E290" s="12" t="s">
        <v>6</v>
      </c>
      <c r="F290" s="3" t="s">
        <v>46</v>
      </c>
      <c r="G290" s="19">
        <f>SUM(G291:G293)</f>
        <v>0</v>
      </c>
      <c r="H290" s="19">
        <f t="shared" ref="H290" si="74">SUM(H291:H293)</f>
        <v>1335153.75</v>
      </c>
      <c r="I290" s="19">
        <f t="shared" ref="I290" si="75">SUM(I291:I293)</f>
        <v>4441954.3499999996</v>
      </c>
      <c r="J290" s="69" t="s">
        <v>34</v>
      </c>
    </row>
    <row r="291" spans="1:10" ht="48" customHeight="1" x14ac:dyDescent="0.25">
      <c r="A291" s="69"/>
      <c r="B291" s="69"/>
      <c r="C291" s="68"/>
      <c r="D291" s="68"/>
      <c r="E291" s="12" t="s">
        <v>8</v>
      </c>
      <c r="F291" s="3" t="s">
        <v>9</v>
      </c>
      <c r="G291" s="19">
        <v>0</v>
      </c>
      <c r="H291" s="19">
        <v>0</v>
      </c>
      <c r="I291" s="19">
        <v>0</v>
      </c>
      <c r="J291" s="69"/>
    </row>
    <row r="292" spans="1:10" ht="48" customHeight="1" x14ac:dyDescent="0.25">
      <c r="A292" s="69"/>
      <c r="B292" s="69"/>
      <c r="C292" s="68"/>
      <c r="D292" s="68"/>
      <c r="E292" s="12" t="s">
        <v>10</v>
      </c>
      <c r="F292" s="3" t="s">
        <v>9</v>
      </c>
      <c r="G292" s="19">
        <v>0</v>
      </c>
      <c r="H292" s="9">
        <f>825615.38+432500</f>
        <v>1258115.3799999999</v>
      </c>
      <c r="I292" s="9">
        <v>4185653.58</v>
      </c>
      <c r="J292" s="69"/>
    </row>
    <row r="293" spans="1:10" ht="48" customHeight="1" x14ac:dyDescent="0.25">
      <c r="A293" s="69"/>
      <c r="B293" s="69"/>
      <c r="C293" s="68"/>
      <c r="D293" s="68"/>
      <c r="E293" s="12" t="s">
        <v>11</v>
      </c>
      <c r="F293" s="3" t="s">
        <v>9</v>
      </c>
      <c r="G293" s="19">
        <v>0</v>
      </c>
      <c r="H293" s="9">
        <f>50555.03+26483.34</f>
        <v>77038.37</v>
      </c>
      <c r="I293" s="9">
        <v>256300.76999999955</v>
      </c>
      <c r="J293" s="69"/>
    </row>
    <row r="294" spans="1:10" ht="48" customHeight="1" x14ac:dyDescent="0.25">
      <c r="A294" s="69" t="s">
        <v>242</v>
      </c>
      <c r="B294" s="69" t="s">
        <v>151</v>
      </c>
      <c r="C294" s="68">
        <v>45292</v>
      </c>
      <c r="D294" s="68">
        <v>45657</v>
      </c>
      <c r="E294" s="51" t="s">
        <v>6</v>
      </c>
      <c r="F294" s="52" t="s">
        <v>243</v>
      </c>
      <c r="G294" s="19">
        <f>SUM(G295:G297)</f>
        <v>127347.99</v>
      </c>
      <c r="H294" s="19">
        <f t="shared" ref="H294:I294" si="76">SUM(H295:H297)</f>
        <v>0</v>
      </c>
      <c r="I294" s="19">
        <f t="shared" si="76"/>
        <v>0</v>
      </c>
      <c r="J294" s="69" t="s">
        <v>34</v>
      </c>
    </row>
    <row r="295" spans="1:10" ht="48" customHeight="1" x14ac:dyDescent="0.25">
      <c r="A295" s="69"/>
      <c r="B295" s="69"/>
      <c r="C295" s="68"/>
      <c r="D295" s="68"/>
      <c r="E295" s="51" t="s">
        <v>8</v>
      </c>
      <c r="F295" s="52" t="s">
        <v>9</v>
      </c>
      <c r="G295" s="19">
        <v>0</v>
      </c>
      <c r="H295" s="19">
        <v>0</v>
      </c>
      <c r="I295" s="19">
        <v>0</v>
      </c>
      <c r="J295" s="69"/>
    </row>
    <row r="296" spans="1:10" ht="48" customHeight="1" x14ac:dyDescent="0.25">
      <c r="A296" s="69"/>
      <c r="B296" s="69"/>
      <c r="C296" s="68"/>
      <c r="D296" s="68"/>
      <c r="E296" s="51" t="s">
        <v>10</v>
      </c>
      <c r="F296" s="52" t="s">
        <v>9</v>
      </c>
      <c r="G296" s="9">
        <v>120000</v>
      </c>
      <c r="H296" s="19">
        <v>0</v>
      </c>
      <c r="I296" s="9">
        <v>0</v>
      </c>
      <c r="J296" s="69"/>
    </row>
    <row r="297" spans="1:10" ht="48" customHeight="1" x14ac:dyDescent="0.25">
      <c r="A297" s="69"/>
      <c r="B297" s="69"/>
      <c r="C297" s="68"/>
      <c r="D297" s="68"/>
      <c r="E297" s="51" t="s">
        <v>11</v>
      </c>
      <c r="F297" s="52" t="s">
        <v>9</v>
      </c>
      <c r="G297" s="9">
        <v>7347.99</v>
      </c>
      <c r="H297" s="19">
        <v>0</v>
      </c>
      <c r="I297" s="9">
        <v>0</v>
      </c>
      <c r="J297" s="69"/>
    </row>
    <row r="298" spans="1:10" ht="48" customHeight="1" x14ac:dyDescent="0.25">
      <c r="A298" s="69" t="s">
        <v>244</v>
      </c>
      <c r="B298" s="69" t="s">
        <v>245</v>
      </c>
      <c r="C298" s="68">
        <v>45292</v>
      </c>
      <c r="D298" s="68">
        <v>45657</v>
      </c>
      <c r="E298" s="51" t="s">
        <v>6</v>
      </c>
      <c r="F298" s="52" t="s">
        <v>243</v>
      </c>
      <c r="G298" s="19">
        <f>SUM(G299:G301)</f>
        <v>31836.99</v>
      </c>
      <c r="H298" s="19">
        <f t="shared" ref="H298:I298" si="77">SUM(H299:H301)</f>
        <v>0</v>
      </c>
      <c r="I298" s="19">
        <f t="shared" si="77"/>
        <v>0</v>
      </c>
      <c r="J298" s="69" t="s">
        <v>34</v>
      </c>
    </row>
    <row r="299" spans="1:10" ht="48" customHeight="1" x14ac:dyDescent="0.25">
      <c r="A299" s="69"/>
      <c r="B299" s="69"/>
      <c r="C299" s="68"/>
      <c r="D299" s="68"/>
      <c r="E299" s="51" t="s">
        <v>8</v>
      </c>
      <c r="F299" s="52" t="s">
        <v>9</v>
      </c>
      <c r="G299" s="19">
        <v>0</v>
      </c>
      <c r="H299" s="19">
        <v>0</v>
      </c>
      <c r="I299" s="19">
        <v>0</v>
      </c>
      <c r="J299" s="69"/>
    </row>
    <row r="300" spans="1:10" ht="48" customHeight="1" x14ac:dyDescent="0.25">
      <c r="A300" s="69"/>
      <c r="B300" s="69"/>
      <c r="C300" s="68"/>
      <c r="D300" s="68"/>
      <c r="E300" s="51" t="s">
        <v>10</v>
      </c>
      <c r="F300" s="52" t="s">
        <v>9</v>
      </c>
      <c r="G300" s="9">
        <v>30000</v>
      </c>
      <c r="H300" s="19">
        <v>0</v>
      </c>
      <c r="I300" s="9">
        <v>0</v>
      </c>
      <c r="J300" s="69"/>
    </row>
    <row r="301" spans="1:10" ht="48" customHeight="1" x14ac:dyDescent="0.25">
      <c r="A301" s="69"/>
      <c r="B301" s="69"/>
      <c r="C301" s="68"/>
      <c r="D301" s="68"/>
      <c r="E301" s="51" t="s">
        <v>11</v>
      </c>
      <c r="F301" s="52" t="s">
        <v>9</v>
      </c>
      <c r="G301" s="9">
        <v>1836.99</v>
      </c>
      <c r="H301" s="19">
        <v>0</v>
      </c>
      <c r="I301" s="9">
        <v>0</v>
      </c>
      <c r="J301" s="69"/>
    </row>
    <row r="302" spans="1:10" ht="48" customHeight="1" x14ac:dyDescent="0.25">
      <c r="A302" s="69" t="s">
        <v>246</v>
      </c>
      <c r="B302" s="69" t="s">
        <v>247</v>
      </c>
      <c r="C302" s="68">
        <v>45292</v>
      </c>
      <c r="D302" s="68">
        <v>45657</v>
      </c>
      <c r="E302" s="51" t="s">
        <v>6</v>
      </c>
      <c r="F302" s="52" t="s">
        <v>243</v>
      </c>
      <c r="G302" s="19">
        <f>SUM(G303:G305)</f>
        <v>95510.98</v>
      </c>
      <c r="H302" s="19">
        <f t="shared" ref="H302:I302" si="78">SUM(H303:H305)</f>
        <v>0</v>
      </c>
      <c r="I302" s="19">
        <f t="shared" si="78"/>
        <v>0</v>
      </c>
      <c r="J302" s="69" t="s">
        <v>34</v>
      </c>
    </row>
    <row r="303" spans="1:10" ht="48" customHeight="1" x14ac:dyDescent="0.25">
      <c r="A303" s="69"/>
      <c r="B303" s="69"/>
      <c r="C303" s="68"/>
      <c r="D303" s="68"/>
      <c r="E303" s="51" t="s">
        <v>8</v>
      </c>
      <c r="F303" s="52" t="s">
        <v>9</v>
      </c>
      <c r="G303" s="19">
        <v>0</v>
      </c>
      <c r="H303" s="19">
        <v>0</v>
      </c>
      <c r="I303" s="19">
        <v>0</v>
      </c>
      <c r="J303" s="69"/>
    </row>
    <row r="304" spans="1:10" ht="48" customHeight="1" x14ac:dyDescent="0.25">
      <c r="A304" s="69"/>
      <c r="B304" s="69"/>
      <c r="C304" s="68"/>
      <c r="D304" s="68"/>
      <c r="E304" s="51" t="s">
        <v>10</v>
      </c>
      <c r="F304" s="52" t="s">
        <v>9</v>
      </c>
      <c r="G304" s="9">
        <v>90000</v>
      </c>
      <c r="H304" s="19">
        <v>0</v>
      </c>
      <c r="I304" s="9">
        <v>0</v>
      </c>
      <c r="J304" s="69"/>
    </row>
    <row r="305" spans="1:10" ht="48" customHeight="1" x14ac:dyDescent="0.25">
      <c r="A305" s="69"/>
      <c r="B305" s="69"/>
      <c r="C305" s="68"/>
      <c r="D305" s="68"/>
      <c r="E305" s="51" t="s">
        <v>11</v>
      </c>
      <c r="F305" s="52" t="s">
        <v>9</v>
      </c>
      <c r="G305" s="9">
        <v>5510.98</v>
      </c>
      <c r="H305" s="19">
        <v>0</v>
      </c>
      <c r="I305" s="9">
        <v>0</v>
      </c>
      <c r="J305" s="69"/>
    </row>
    <row r="306" spans="1:10" ht="48" customHeight="1" x14ac:dyDescent="0.25">
      <c r="A306" s="69" t="s">
        <v>248</v>
      </c>
      <c r="B306" s="69" t="s">
        <v>218</v>
      </c>
      <c r="C306" s="68">
        <v>45292</v>
      </c>
      <c r="D306" s="68">
        <v>45657</v>
      </c>
      <c r="E306" s="51" t="s">
        <v>6</v>
      </c>
      <c r="F306" s="52" t="s">
        <v>243</v>
      </c>
      <c r="G306" s="19">
        <f>SUM(G307:G309)</f>
        <v>95510.98</v>
      </c>
      <c r="H306" s="19">
        <f t="shared" ref="H306:I306" si="79">SUM(H307:H309)</f>
        <v>0</v>
      </c>
      <c r="I306" s="19">
        <f t="shared" si="79"/>
        <v>0</v>
      </c>
      <c r="J306" s="69" t="s">
        <v>34</v>
      </c>
    </row>
    <row r="307" spans="1:10" ht="48" customHeight="1" x14ac:dyDescent="0.25">
      <c r="A307" s="69"/>
      <c r="B307" s="69"/>
      <c r="C307" s="68"/>
      <c r="D307" s="68"/>
      <c r="E307" s="51" t="s">
        <v>8</v>
      </c>
      <c r="F307" s="52" t="s">
        <v>9</v>
      </c>
      <c r="G307" s="19">
        <v>0</v>
      </c>
      <c r="H307" s="19">
        <v>0</v>
      </c>
      <c r="I307" s="19">
        <v>0</v>
      </c>
      <c r="J307" s="69"/>
    </row>
    <row r="308" spans="1:10" ht="48" customHeight="1" x14ac:dyDescent="0.25">
      <c r="A308" s="69"/>
      <c r="B308" s="69"/>
      <c r="C308" s="68"/>
      <c r="D308" s="68"/>
      <c r="E308" s="51" t="s">
        <v>10</v>
      </c>
      <c r="F308" s="52" t="s">
        <v>9</v>
      </c>
      <c r="G308" s="9">
        <v>90000</v>
      </c>
      <c r="H308" s="19">
        <v>0</v>
      </c>
      <c r="I308" s="9">
        <v>0</v>
      </c>
      <c r="J308" s="69"/>
    </row>
    <row r="309" spans="1:10" ht="48" customHeight="1" x14ac:dyDescent="0.25">
      <c r="A309" s="69"/>
      <c r="B309" s="69"/>
      <c r="C309" s="68"/>
      <c r="D309" s="68"/>
      <c r="E309" s="51" t="s">
        <v>11</v>
      </c>
      <c r="F309" s="52" t="s">
        <v>9</v>
      </c>
      <c r="G309" s="9">
        <v>5510.98</v>
      </c>
      <c r="H309" s="19">
        <v>0</v>
      </c>
      <c r="I309" s="9">
        <v>0</v>
      </c>
      <c r="J309" s="69"/>
    </row>
    <row r="310" spans="1:10" ht="48" customHeight="1" x14ac:dyDescent="0.25">
      <c r="A310" s="69" t="s">
        <v>249</v>
      </c>
      <c r="B310" s="69" t="s">
        <v>250</v>
      </c>
      <c r="C310" s="68">
        <v>45292</v>
      </c>
      <c r="D310" s="68">
        <v>45657</v>
      </c>
      <c r="E310" s="51" t="s">
        <v>6</v>
      </c>
      <c r="F310" s="52" t="s">
        <v>243</v>
      </c>
      <c r="G310" s="19">
        <f>SUM(G311:G313)</f>
        <v>95510.98</v>
      </c>
      <c r="H310" s="19">
        <f t="shared" ref="H310:I310" si="80">SUM(H311:H313)</f>
        <v>0</v>
      </c>
      <c r="I310" s="19">
        <f t="shared" si="80"/>
        <v>0</v>
      </c>
      <c r="J310" s="69" t="s">
        <v>34</v>
      </c>
    </row>
    <row r="311" spans="1:10" ht="48" customHeight="1" x14ac:dyDescent="0.25">
      <c r="A311" s="69"/>
      <c r="B311" s="69"/>
      <c r="C311" s="68"/>
      <c r="D311" s="68"/>
      <c r="E311" s="51" t="s">
        <v>8</v>
      </c>
      <c r="F311" s="52" t="s">
        <v>9</v>
      </c>
      <c r="G311" s="19">
        <v>0</v>
      </c>
      <c r="H311" s="19">
        <v>0</v>
      </c>
      <c r="I311" s="19">
        <v>0</v>
      </c>
      <c r="J311" s="69"/>
    </row>
    <row r="312" spans="1:10" ht="48" customHeight="1" x14ac:dyDescent="0.25">
      <c r="A312" s="69"/>
      <c r="B312" s="69"/>
      <c r="C312" s="68"/>
      <c r="D312" s="68"/>
      <c r="E312" s="51" t="s">
        <v>10</v>
      </c>
      <c r="F312" s="52" t="s">
        <v>9</v>
      </c>
      <c r="G312" s="9">
        <v>90000</v>
      </c>
      <c r="H312" s="19">
        <v>0</v>
      </c>
      <c r="I312" s="9">
        <v>0</v>
      </c>
      <c r="J312" s="69"/>
    </row>
    <row r="313" spans="1:10" ht="48" customHeight="1" x14ac:dyDescent="0.25">
      <c r="A313" s="69"/>
      <c r="B313" s="69"/>
      <c r="C313" s="68"/>
      <c r="D313" s="68"/>
      <c r="E313" s="51" t="s">
        <v>11</v>
      </c>
      <c r="F313" s="52" t="s">
        <v>9</v>
      </c>
      <c r="G313" s="9">
        <v>5510.98</v>
      </c>
      <c r="H313" s="19">
        <v>0</v>
      </c>
      <c r="I313" s="9">
        <v>0</v>
      </c>
      <c r="J313" s="69"/>
    </row>
    <row r="314" spans="1:10" ht="48" customHeight="1" x14ac:dyDescent="0.25">
      <c r="A314" s="69" t="s">
        <v>251</v>
      </c>
      <c r="B314" s="69" t="s">
        <v>252</v>
      </c>
      <c r="C314" s="68">
        <v>45292</v>
      </c>
      <c r="D314" s="68">
        <v>45657</v>
      </c>
      <c r="E314" s="51" t="s">
        <v>6</v>
      </c>
      <c r="F314" s="52" t="s">
        <v>243</v>
      </c>
      <c r="G314" s="19">
        <f>SUM(G315:G317)</f>
        <v>74286.320000000007</v>
      </c>
      <c r="H314" s="19">
        <f t="shared" ref="H314:I314" si="81">SUM(H315:H317)</f>
        <v>0</v>
      </c>
      <c r="I314" s="19">
        <f t="shared" si="81"/>
        <v>0</v>
      </c>
      <c r="J314" s="69" t="s">
        <v>34</v>
      </c>
    </row>
    <row r="315" spans="1:10" ht="48" customHeight="1" x14ac:dyDescent="0.25">
      <c r="A315" s="69"/>
      <c r="B315" s="69"/>
      <c r="C315" s="68"/>
      <c r="D315" s="68"/>
      <c r="E315" s="51" t="s">
        <v>8</v>
      </c>
      <c r="F315" s="52" t="s">
        <v>9</v>
      </c>
      <c r="G315" s="19">
        <v>0</v>
      </c>
      <c r="H315" s="19">
        <v>0</v>
      </c>
      <c r="I315" s="19">
        <v>0</v>
      </c>
      <c r="J315" s="69"/>
    </row>
    <row r="316" spans="1:10" ht="48" customHeight="1" x14ac:dyDescent="0.25">
      <c r="A316" s="69"/>
      <c r="B316" s="69"/>
      <c r="C316" s="68"/>
      <c r="D316" s="68"/>
      <c r="E316" s="51" t="s">
        <v>10</v>
      </c>
      <c r="F316" s="52" t="s">
        <v>9</v>
      </c>
      <c r="G316" s="9">
        <v>70000</v>
      </c>
      <c r="H316" s="19">
        <v>0</v>
      </c>
      <c r="I316" s="9">
        <v>0</v>
      </c>
      <c r="J316" s="69"/>
    </row>
    <row r="317" spans="1:10" ht="48" customHeight="1" x14ac:dyDescent="0.25">
      <c r="A317" s="69"/>
      <c r="B317" s="69"/>
      <c r="C317" s="68"/>
      <c r="D317" s="68"/>
      <c r="E317" s="51" t="s">
        <v>11</v>
      </c>
      <c r="F317" s="52" t="s">
        <v>9</v>
      </c>
      <c r="G317" s="9">
        <v>4286.32</v>
      </c>
      <c r="H317" s="19">
        <v>0</v>
      </c>
      <c r="I317" s="9">
        <v>0</v>
      </c>
      <c r="J317" s="69"/>
    </row>
    <row r="318" spans="1:10" ht="48" customHeight="1" x14ac:dyDescent="0.25">
      <c r="A318" s="69" t="s">
        <v>253</v>
      </c>
      <c r="B318" s="69" t="s">
        <v>108</v>
      </c>
      <c r="C318" s="68">
        <v>45292</v>
      </c>
      <c r="D318" s="68">
        <v>45657</v>
      </c>
      <c r="E318" s="51" t="s">
        <v>6</v>
      </c>
      <c r="F318" s="52" t="s">
        <v>243</v>
      </c>
      <c r="G318" s="19">
        <f>SUM(G319:G321)</f>
        <v>21224.66</v>
      </c>
      <c r="H318" s="19">
        <f t="shared" ref="H318:I318" si="82">SUM(H319:H321)</f>
        <v>0</v>
      </c>
      <c r="I318" s="19">
        <f t="shared" si="82"/>
        <v>0</v>
      </c>
      <c r="J318" s="69" t="s">
        <v>34</v>
      </c>
    </row>
    <row r="319" spans="1:10" ht="48" customHeight="1" x14ac:dyDescent="0.25">
      <c r="A319" s="69"/>
      <c r="B319" s="69"/>
      <c r="C319" s="68"/>
      <c r="D319" s="68"/>
      <c r="E319" s="51" t="s">
        <v>8</v>
      </c>
      <c r="F319" s="52" t="s">
        <v>9</v>
      </c>
      <c r="G319" s="19">
        <v>0</v>
      </c>
      <c r="H319" s="19">
        <v>0</v>
      </c>
      <c r="I319" s="19">
        <v>0</v>
      </c>
      <c r="J319" s="69"/>
    </row>
    <row r="320" spans="1:10" ht="48" customHeight="1" x14ac:dyDescent="0.25">
      <c r="A320" s="69"/>
      <c r="B320" s="69"/>
      <c r="C320" s="68"/>
      <c r="D320" s="68"/>
      <c r="E320" s="51" t="s">
        <v>10</v>
      </c>
      <c r="F320" s="52" t="s">
        <v>9</v>
      </c>
      <c r="G320" s="9">
        <v>20000</v>
      </c>
      <c r="H320" s="19">
        <v>0</v>
      </c>
      <c r="I320" s="9">
        <v>0</v>
      </c>
      <c r="J320" s="69"/>
    </row>
    <row r="321" spans="1:10" ht="48" customHeight="1" x14ac:dyDescent="0.25">
      <c r="A321" s="69"/>
      <c r="B321" s="69"/>
      <c r="C321" s="68"/>
      <c r="D321" s="68"/>
      <c r="E321" s="51" t="s">
        <v>11</v>
      </c>
      <c r="F321" s="52" t="s">
        <v>9</v>
      </c>
      <c r="G321" s="9">
        <v>1224.6600000000001</v>
      </c>
      <c r="H321" s="19">
        <v>0</v>
      </c>
      <c r="I321" s="9">
        <v>0</v>
      </c>
      <c r="J321" s="69"/>
    </row>
    <row r="322" spans="1:10" ht="48" customHeight="1" x14ac:dyDescent="0.25">
      <c r="A322" s="69" t="s">
        <v>254</v>
      </c>
      <c r="B322" s="69" t="s">
        <v>255</v>
      </c>
      <c r="C322" s="68">
        <v>45292</v>
      </c>
      <c r="D322" s="68">
        <v>45657</v>
      </c>
      <c r="E322" s="51" t="s">
        <v>6</v>
      </c>
      <c r="F322" s="52" t="s">
        <v>243</v>
      </c>
      <c r="G322" s="19">
        <f>SUM(G323:G325)</f>
        <v>19102.2</v>
      </c>
      <c r="H322" s="19">
        <f t="shared" ref="H322:I322" si="83">SUM(H323:H325)</f>
        <v>0</v>
      </c>
      <c r="I322" s="19">
        <f t="shared" si="83"/>
        <v>0</v>
      </c>
      <c r="J322" s="69" t="s">
        <v>34</v>
      </c>
    </row>
    <row r="323" spans="1:10" ht="48" customHeight="1" x14ac:dyDescent="0.25">
      <c r="A323" s="69"/>
      <c r="B323" s="69"/>
      <c r="C323" s="68"/>
      <c r="D323" s="68"/>
      <c r="E323" s="51" t="s">
        <v>8</v>
      </c>
      <c r="F323" s="52" t="s">
        <v>9</v>
      </c>
      <c r="G323" s="19">
        <v>0</v>
      </c>
      <c r="H323" s="19">
        <v>0</v>
      </c>
      <c r="I323" s="19">
        <v>0</v>
      </c>
      <c r="J323" s="69"/>
    </row>
    <row r="324" spans="1:10" ht="48" customHeight="1" x14ac:dyDescent="0.25">
      <c r="A324" s="69"/>
      <c r="B324" s="69"/>
      <c r="C324" s="68"/>
      <c r="D324" s="68"/>
      <c r="E324" s="51" t="s">
        <v>10</v>
      </c>
      <c r="F324" s="52" t="s">
        <v>9</v>
      </c>
      <c r="G324" s="9">
        <v>18000</v>
      </c>
      <c r="H324" s="19">
        <v>0</v>
      </c>
      <c r="I324" s="9">
        <v>0</v>
      </c>
      <c r="J324" s="69"/>
    </row>
    <row r="325" spans="1:10" ht="48" customHeight="1" x14ac:dyDescent="0.25">
      <c r="A325" s="69"/>
      <c r="B325" s="69"/>
      <c r="C325" s="68"/>
      <c r="D325" s="68"/>
      <c r="E325" s="51" t="s">
        <v>11</v>
      </c>
      <c r="F325" s="52" t="s">
        <v>9</v>
      </c>
      <c r="G325" s="9">
        <v>1102.2</v>
      </c>
      <c r="H325" s="19">
        <v>0</v>
      </c>
      <c r="I325" s="9">
        <v>0</v>
      </c>
      <c r="J325" s="69"/>
    </row>
    <row r="326" spans="1:10" ht="24.75" customHeight="1" x14ac:dyDescent="0.25">
      <c r="A326" s="69" t="s">
        <v>47</v>
      </c>
      <c r="B326" s="67" t="s">
        <v>5</v>
      </c>
      <c r="C326" s="68">
        <v>45292</v>
      </c>
      <c r="D326" s="68">
        <v>46387</v>
      </c>
      <c r="E326" s="12" t="s">
        <v>6</v>
      </c>
      <c r="F326" s="3" t="s">
        <v>48</v>
      </c>
      <c r="G326" s="19">
        <f>SUM(G327:G329)</f>
        <v>1015658.7499999999</v>
      </c>
      <c r="H326" s="19">
        <f>SUM(H327:H329)</f>
        <v>1120122.1400000001</v>
      </c>
      <c r="I326" s="19">
        <f t="shared" ref="I326" si="84">SUM(I327:I329)</f>
        <v>1189760</v>
      </c>
      <c r="J326" s="69" t="s">
        <v>94</v>
      </c>
    </row>
    <row r="327" spans="1:10" ht="24.75" customHeight="1" x14ac:dyDescent="0.25">
      <c r="A327" s="69"/>
      <c r="B327" s="67"/>
      <c r="C327" s="68"/>
      <c r="D327" s="68"/>
      <c r="E327" s="12" t="s">
        <v>8</v>
      </c>
      <c r="F327" s="3" t="s">
        <v>9</v>
      </c>
      <c r="G327" s="19">
        <v>0</v>
      </c>
      <c r="H327" s="19">
        <v>0</v>
      </c>
      <c r="I327" s="19">
        <v>0</v>
      </c>
      <c r="J327" s="69"/>
    </row>
    <row r="328" spans="1:10" ht="24.75" customHeight="1" x14ac:dyDescent="0.25">
      <c r="A328" s="69"/>
      <c r="B328" s="67"/>
      <c r="C328" s="68"/>
      <c r="D328" s="68"/>
      <c r="E328" s="12" t="s">
        <v>10</v>
      </c>
      <c r="F328" s="3" t="s">
        <v>9</v>
      </c>
      <c r="G328" s="19">
        <v>0</v>
      </c>
      <c r="H328" s="19">
        <v>0</v>
      </c>
      <c r="I328" s="19">
        <v>0</v>
      </c>
      <c r="J328" s="69"/>
    </row>
    <row r="329" spans="1:10" ht="24.75" customHeight="1" x14ac:dyDescent="0.25">
      <c r="A329" s="69"/>
      <c r="B329" s="67"/>
      <c r="C329" s="68"/>
      <c r="D329" s="68"/>
      <c r="E329" s="12" t="s">
        <v>11</v>
      </c>
      <c r="F329" s="3" t="s">
        <v>9</v>
      </c>
      <c r="G329" s="19">
        <f>1700000-62000-177854.06-21319.27-13398.58-15478.4-578-20641.79-30000-292642.49-43608.26-6820.4</f>
        <v>1015658.7499999999</v>
      </c>
      <c r="H329" s="19">
        <f>1144000-21938.93-1938.93</f>
        <v>1120122.1400000001</v>
      </c>
      <c r="I329" s="19">
        <v>1189760</v>
      </c>
      <c r="J329" s="69"/>
    </row>
    <row r="330" spans="1:10" ht="66" customHeight="1" x14ac:dyDescent="0.25">
      <c r="A330" s="69" t="s">
        <v>170</v>
      </c>
      <c r="B330" s="67" t="s">
        <v>5</v>
      </c>
      <c r="C330" s="68">
        <v>45292</v>
      </c>
      <c r="D330" s="68">
        <v>46387</v>
      </c>
      <c r="E330" s="12" t="s">
        <v>6</v>
      </c>
      <c r="F330" s="3" t="s">
        <v>110</v>
      </c>
      <c r="G330" s="19">
        <f>SUM(G331:G333)</f>
        <v>1184341.25</v>
      </c>
      <c r="H330" s="19">
        <f t="shared" ref="H330:I330" si="85">SUM(H331:H333)</f>
        <v>523877.86</v>
      </c>
      <c r="I330" s="19">
        <f t="shared" si="85"/>
        <v>500000</v>
      </c>
      <c r="J330" s="69" t="s">
        <v>171</v>
      </c>
    </row>
    <row r="331" spans="1:10" ht="66" customHeight="1" x14ac:dyDescent="0.25">
      <c r="A331" s="69"/>
      <c r="B331" s="67"/>
      <c r="C331" s="68"/>
      <c r="D331" s="68"/>
      <c r="E331" s="12" t="s">
        <v>8</v>
      </c>
      <c r="F331" s="3" t="s">
        <v>9</v>
      </c>
      <c r="G331" s="19">
        <v>0</v>
      </c>
      <c r="H331" s="19">
        <v>0</v>
      </c>
      <c r="I331" s="19">
        <v>0</v>
      </c>
      <c r="J331" s="69"/>
    </row>
    <row r="332" spans="1:10" ht="66" customHeight="1" x14ac:dyDescent="0.25">
      <c r="A332" s="69"/>
      <c r="B332" s="67"/>
      <c r="C332" s="68"/>
      <c r="D332" s="68"/>
      <c r="E332" s="12" t="s">
        <v>10</v>
      </c>
      <c r="F332" s="3" t="s">
        <v>9</v>
      </c>
      <c r="G332" s="19">
        <v>0</v>
      </c>
      <c r="H332" s="19">
        <v>0</v>
      </c>
      <c r="I332" s="19">
        <v>0</v>
      </c>
      <c r="J332" s="69"/>
    </row>
    <row r="333" spans="1:10" ht="66" customHeight="1" x14ac:dyDescent="0.25">
      <c r="A333" s="69"/>
      <c r="B333" s="67"/>
      <c r="C333" s="68"/>
      <c r="D333" s="68"/>
      <c r="E333" s="12" t="s">
        <v>11</v>
      </c>
      <c r="F333" s="3" t="s">
        <v>9</v>
      </c>
      <c r="G333" s="19">
        <f>500000+62000+177854.06+21319.27+13398.58+15478.4+578+20641.79+30000+292642.49+43608.26+6820.4</f>
        <v>1184341.25</v>
      </c>
      <c r="H333" s="19">
        <f>500000+21938.93+1938.93</f>
        <v>523877.86</v>
      </c>
      <c r="I333" s="19">
        <v>500000</v>
      </c>
      <c r="J333" s="69"/>
    </row>
    <row r="334" spans="1:10" ht="30.75" customHeight="1" x14ac:dyDescent="0.25">
      <c r="A334" s="67" t="s">
        <v>49</v>
      </c>
      <c r="B334" s="67" t="s">
        <v>5</v>
      </c>
      <c r="C334" s="68">
        <v>45292</v>
      </c>
      <c r="D334" s="68">
        <v>46387</v>
      </c>
      <c r="E334" s="12" t="s">
        <v>6</v>
      </c>
      <c r="F334" s="3" t="s">
        <v>162</v>
      </c>
      <c r="G334" s="19">
        <f>SUM(G335:G337)</f>
        <v>38362800</v>
      </c>
      <c r="H334" s="19">
        <f t="shared" ref="H334:I334" si="86">SUM(H335:H337)</f>
        <v>23183100</v>
      </c>
      <c r="I334" s="19">
        <f t="shared" si="86"/>
        <v>23253800</v>
      </c>
      <c r="J334" s="69" t="s">
        <v>95</v>
      </c>
    </row>
    <row r="335" spans="1:10" ht="30.75" customHeight="1" x14ac:dyDescent="0.25">
      <c r="A335" s="67"/>
      <c r="B335" s="67"/>
      <c r="C335" s="68"/>
      <c r="D335" s="68"/>
      <c r="E335" s="12" t="s">
        <v>8</v>
      </c>
      <c r="F335" s="3" t="s">
        <v>9</v>
      </c>
      <c r="G335" s="19">
        <f>23064800+15298000</f>
        <v>38362800</v>
      </c>
      <c r="H335" s="19">
        <v>23183100</v>
      </c>
      <c r="I335" s="19">
        <v>23253800</v>
      </c>
      <c r="J335" s="69"/>
    </row>
    <row r="336" spans="1:10" ht="30.75" customHeight="1" x14ac:dyDescent="0.25">
      <c r="A336" s="67"/>
      <c r="B336" s="67"/>
      <c r="C336" s="68"/>
      <c r="D336" s="68"/>
      <c r="E336" s="12" t="s">
        <v>10</v>
      </c>
      <c r="F336" s="3" t="s">
        <v>9</v>
      </c>
      <c r="G336" s="19">
        <v>0</v>
      </c>
      <c r="H336" s="19">
        <v>0</v>
      </c>
      <c r="I336" s="19">
        <v>0</v>
      </c>
      <c r="J336" s="69"/>
    </row>
    <row r="337" spans="1:11" ht="30.75" customHeight="1" x14ac:dyDescent="0.25">
      <c r="A337" s="67"/>
      <c r="B337" s="67"/>
      <c r="C337" s="68"/>
      <c r="D337" s="68"/>
      <c r="E337" s="12" t="s">
        <v>11</v>
      </c>
      <c r="F337" s="3" t="s">
        <v>9</v>
      </c>
      <c r="G337" s="19">
        <v>0</v>
      </c>
      <c r="H337" s="19">
        <v>0</v>
      </c>
      <c r="I337" s="19">
        <v>0</v>
      </c>
      <c r="J337" s="69"/>
    </row>
    <row r="338" spans="1:11" ht="30.75" customHeight="1" x14ac:dyDescent="0.25">
      <c r="A338" s="69" t="s">
        <v>219</v>
      </c>
      <c r="B338" s="67" t="s">
        <v>218</v>
      </c>
      <c r="C338" s="68">
        <v>45292</v>
      </c>
      <c r="D338" s="68">
        <v>45657</v>
      </c>
      <c r="E338" s="34" t="s">
        <v>6</v>
      </c>
      <c r="F338" s="35" t="s">
        <v>224</v>
      </c>
      <c r="G338" s="4">
        <f>SUM(G339:G341)</f>
        <v>1100000</v>
      </c>
      <c r="H338" s="4">
        <f t="shared" ref="H338:I338" si="87">SUM(H339:H341)</f>
        <v>0</v>
      </c>
      <c r="I338" s="4">
        <f t="shared" si="87"/>
        <v>0</v>
      </c>
      <c r="J338" s="69" t="s">
        <v>206</v>
      </c>
    </row>
    <row r="339" spans="1:11" ht="30.75" customHeight="1" x14ac:dyDescent="0.25">
      <c r="A339" s="69"/>
      <c r="B339" s="67"/>
      <c r="C339" s="68"/>
      <c r="D339" s="68"/>
      <c r="E339" s="34" t="s">
        <v>8</v>
      </c>
      <c r="F339" s="35" t="s">
        <v>9</v>
      </c>
      <c r="G339" s="4">
        <v>0</v>
      </c>
      <c r="H339" s="4">
        <v>0</v>
      </c>
      <c r="I339" s="4">
        <v>0</v>
      </c>
      <c r="J339" s="69"/>
    </row>
    <row r="340" spans="1:11" ht="30.75" customHeight="1" x14ac:dyDescent="0.25">
      <c r="A340" s="69"/>
      <c r="B340" s="67"/>
      <c r="C340" s="68"/>
      <c r="D340" s="68"/>
      <c r="E340" s="34" t="s">
        <v>10</v>
      </c>
      <c r="F340" s="35" t="s">
        <v>9</v>
      </c>
      <c r="G340" s="4">
        <v>1100000</v>
      </c>
      <c r="H340" s="4">
        <v>0</v>
      </c>
      <c r="I340" s="4">
        <v>0</v>
      </c>
      <c r="J340" s="69"/>
    </row>
    <row r="341" spans="1:11" ht="30.75" customHeight="1" x14ac:dyDescent="0.25">
      <c r="A341" s="69"/>
      <c r="B341" s="67"/>
      <c r="C341" s="68"/>
      <c r="D341" s="68"/>
      <c r="E341" s="34" t="s">
        <v>11</v>
      </c>
      <c r="F341" s="35" t="s">
        <v>9</v>
      </c>
      <c r="G341" s="4">
        <v>0</v>
      </c>
      <c r="H341" s="4">
        <v>0</v>
      </c>
      <c r="I341" s="4">
        <v>0</v>
      </c>
      <c r="J341" s="69"/>
    </row>
    <row r="342" spans="1:11" ht="30.75" customHeight="1" x14ac:dyDescent="0.25">
      <c r="A342" s="69" t="s">
        <v>221</v>
      </c>
      <c r="B342" s="67" t="s">
        <v>220</v>
      </c>
      <c r="C342" s="68">
        <v>45292</v>
      </c>
      <c r="D342" s="68">
        <v>45657</v>
      </c>
      <c r="E342" s="34" t="s">
        <v>6</v>
      </c>
      <c r="F342" s="35" t="s">
        <v>224</v>
      </c>
      <c r="G342" s="4">
        <f>SUM(G343:G345)</f>
        <v>1100000</v>
      </c>
      <c r="H342" s="4">
        <f t="shared" ref="H342:I342" si="88">SUM(H343:H345)</f>
        <v>0</v>
      </c>
      <c r="I342" s="4">
        <f t="shared" si="88"/>
        <v>0</v>
      </c>
      <c r="J342" s="69" t="s">
        <v>206</v>
      </c>
    </row>
    <row r="343" spans="1:11" ht="30.75" customHeight="1" x14ac:dyDescent="0.25">
      <c r="A343" s="69"/>
      <c r="B343" s="67"/>
      <c r="C343" s="68"/>
      <c r="D343" s="68"/>
      <c r="E343" s="34" t="s">
        <v>8</v>
      </c>
      <c r="F343" s="35" t="s">
        <v>9</v>
      </c>
      <c r="G343" s="4">
        <v>0</v>
      </c>
      <c r="H343" s="4">
        <v>0</v>
      </c>
      <c r="I343" s="4">
        <v>0</v>
      </c>
      <c r="J343" s="69"/>
    </row>
    <row r="344" spans="1:11" ht="30.75" customHeight="1" x14ac:dyDescent="0.25">
      <c r="A344" s="69"/>
      <c r="B344" s="67"/>
      <c r="C344" s="68"/>
      <c r="D344" s="68"/>
      <c r="E344" s="34" t="s">
        <v>10</v>
      </c>
      <c r="F344" s="35" t="s">
        <v>9</v>
      </c>
      <c r="G344" s="4">
        <v>1100000</v>
      </c>
      <c r="H344" s="4">
        <v>0</v>
      </c>
      <c r="I344" s="4">
        <v>0</v>
      </c>
      <c r="J344" s="69"/>
    </row>
    <row r="345" spans="1:11" ht="30.75" customHeight="1" x14ac:dyDescent="0.25">
      <c r="A345" s="69"/>
      <c r="B345" s="67"/>
      <c r="C345" s="68"/>
      <c r="D345" s="68"/>
      <c r="E345" s="34" t="s">
        <v>11</v>
      </c>
      <c r="F345" s="35" t="s">
        <v>9</v>
      </c>
      <c r="G345" s="4">
        <v>0</v>
      </c>
      <c r="H345" s="4">
        <v>0</v>
      </c>
      <c r="I345" s="4">
        <v>0</v>
      </c>
      <c r="J345" s="69"/>
    </row>
    <row r="346" spans="1:11" ht="30.75" customHeight="1" x14ac:dyDescent="0.25">
      <c r="A346" s="69" t="s">
        <v>222</v>
      </c>
      <c r="B346" s="67" t="s">
        <v>223</v>
      </c>
      <c r="C346" s="68">
        <v>45292</v>
      </c>
      <c r="D346" s="68">
        <v>45657</v>
      </c>
      <c r="E346" s="34" t="s">
        <v>6</v>
      </c>
      <c r="F346" s="35" t="s">
        <v>224</v>
      </c>
      <c r="G346" s="4">
        <f>SUM(G347:G349)</f>
        <v>1100000</v>
      </c>
      <c r="H346" s="4">
        <f t="shared" ref="H346:I346" si="89">SUM(H347:H349)</f>
        <v>0</v>
      </c>
      <c r="I346" s="4">
        <f t="shared" si="89"/>
        <v>0</v>
      </c>
      <c r="J346" s="69" t="s">
        <v>206</v>
      </c>
    </row>
    <row r="347" spans="1:11" ht="30.75" customHeight="1" x14ac:dyDescent="0.25">
      <c r="A347" s="69"/>
      <c r="B347" s="67"/>
      <c r="C347" s="68"/>
      <c r="D347" s="68"/>
      <c r="E347" s="34" t="s">
        <v>8</v>
      </c>
      <c r="F347" s="35" t="s">
        <v>9</v>
      </c>
      <c r="G347" s="4">
        <v>0</v>
      </c>
      <c r="H347" s="4">
        <v>0</v>
      </c>
      <c r="I347" s="4">
        <v>0</v>
      </c>
      <c r="J347" s="69"/>
    </row>
    <row r="348" spans="1:11" ht="30.75" customHeight="1" x14ac:dyDescent="0.25">
      <c r="A348" s="69"/>
      <c r="B348" s="67"/>
      <c r="C348" s="68"/>
      <c r="D348" s="68"/>
      <c r="E348" s="34" t="s">
        <v>10</v>
      </c>
      <c r="F348" s="35" t="s">
        <v>9</v>
      </c>
      <c r="G348" s="4">
        <v>1100000</v>
      </c>
      <c r="H348" s="4">
        <v>0</v>
      </c>
      <c r="I348" s="4">
        <v>0</v>
      </c>
      <c r="J348" s="69"/>
    </row>
    <row r="349" spans="1:11" ht="30.75" customHeight="1" x14ac:dyDescent="0.25">
      <c r="A349" s="69"/>
      <c r="B349" s="67"/>
      <c r="C349" s="68"/>
      <c r="D349" s="68"/>
      <c r="E349" s="34" t="s">
        <v>11</v>
      </c>
      <c r="F349" s="35" t="s">
        <v>9</v>
      </c>
      <c r="G349" s="4">
        <v>0</v>
      </c>
      <c r="H349" s="4">
        <v>0</v>
      </c>
      <c r="I349" s="4">
        <v>0</v>
      </c>
      <c r="J349" s="69"/>
    </row>
    <row r="350" spans="1:11" ht="24" customHeight="1" x14ac:dyDescent="0.25">
      <c r="A350" s="69" t="s">
        <v>35</v>
      </c>
      <c r="B350" s="69" t="s">
        <v>5</v>
      </c>
      <c r="C350" s="68">
        <v>45292</v>
      </c>
      <c r="D350" s="68">
        <v>46387</v>
      </c>
      <c r="E350" s="12" t="s">
        <v>6</v>
      </c>
      <c r="F350" s="3" t="s">
        <v>50</v>
      </c>
      <c r="G350" s="19">
        <f>SUM(G351:G353)</f>
        <v>423801</v>
      </c>
      <c r="H350" s="19">
        <f t="shared" ref="H350" si="90">SUM(H351:H353)</f>
        <v>348634</v>
      </c>
      <c r="I350" s="19">
        <f t="shared" ref="I350" si="91">SUM(I351:I353)</f>
        <v>348634</v>
      </c>
      <c r="J350" s="69" t="s">
        <v>37</v>
      </c>
    </row>
    <row r="351" spans="1:11" ht="24" customHeight="1" x14ac:dyDescent="0.25">
      <c r="A351" s="69"/>
      <c r="B351" s="69"/>
      <c r="C351" s="68"/>
      <c r="D351" s="68"/>
      <c r="E351" s="12" t="s">
        <v>8</v>
      </c>
      <c r="F351" s="3" t="s">
        <v>9</v>
      </c>
      <c r="G351" s="19">
        <v>0</v>
      </c>
      <c r="H351" s="19">
        <v>0</v>
      </c>
      <c r="I351" s="19">
        <v>0</v>
      </c>
      <c r="J351" s="69"/>
    </row>
    <row r="352" spans="1:11" ht="24" customHeight="1" x14ac:dyDescent="0.25">
      <c r="A352" s="69"/>
      <c r="B352" s="69"/>
      <c r="C352" s="68"/>
      <c r="D352" s="68"/>
      <c r="E352" s="12" t="s">
        <v>10</v>
      </c>
      <c r="F352" s="3" t="s">
        <v>9</v>
      </c>
      <c r="G352" s="19">
        <v>0</v>
      </c>
      <c r="H352" s="19">
        <v>0</v>
      </c>
      <c r="I352" s="19">
        <v>0</v>
      </c>
      <c r="J352" s="69"/>
      <c r="K352" s="7"/>
    </row>
    <row r="353" spans="1:14" ht="24" customHeight="1" x14ac:dyDescent="0.25">
      <c r="A353" s="69"/>
      <c r="B353" s="69"/>
      <c r="C353" s="68"/>
      <c r="D353" s="68"/>
      <c r="E353" s="12" t="s">
        <v>11</v>
      </c>
      <c r="F353" s="3" t="s">
        <v>9</v>
      </c>
      <c r="G353" s="19">
        <f>394506+29295</f>
        <v>423801</v>
      </c>
      <c r="H353" s="19">
        <v>348634</v>
      </c>
      <c r="I353" s="19">
        <v>348634</v>
      </c>
      <c r="J353" s="69"/>
    </row>
    <row r="354" spans="1:14" ht="29.25" customHeight="1" x14ac:dyDescent="0.25">
      <c r="A354" s="69" t="s">
        <v>51</v>
      </c>
      <c r="B354" s="69" t="s">
        <v>5</v>
      </c>
      <c r="C354" s="68">
        <v>45292</v>
      </c>
      <c r="D354" s="68">
        <v>46387</v>
      </c>
      <c r="E354" s="12" t="s">
        <v>6</v>
      </c>
      <c r="F354" s="3" t="s">
        <v>52</v>
      </c>
      <c r="G354" s="19">
        <f>SUM(G355:G357)</f>
        <v>53617.960000000006</v>
      </c>
      <c r="H354" s="19">
        <f t="shared" ref="H354" si="92">SUM(H355:H357)</f>
        <v>75319.3</v>
      </c>
      <c r="I354" s="19">
        <f t="shared" ref="I354" si="93">SUM(I355:I357)</f>
        <v>58520.35</v>
      </c>
      <c r="J354" s="69" t="s">
        <v>96</v>
      </c>
    </row>
    <row r="355" spans="1:14" ht="29.25" customHeight="1" x14ac:dyDescent="0.25">
      <c r="A355" s="69"/>
      <c r="B355" s="69"/>
      <c r="C355" s="68"/>
      <c r="D355" s="68"/>
      <c r="E355" s="12" t="s">
        <v>8</v>
      </c>
      <c r="F355" s="3" t="s">
        <v>9</v>
      </c>
      <c r="G355" s="19">
        <v>0</v>
      </c>
      <c r="H355" s="19">
        <v>0</v>
      </c>
      <c r="I355" s="19">
        <v>0</v>
      </c>
      <c r="J355" s="69"/>
    </row>
    <row r="356" spans="1:14" ht="29.25" customHeight="1" x14ac:dyDescent="0.25">
      <c r="A356" s="69"/>
      <c r="B356" s="69"/>
      <c r="C356" s="68"/>
      <c r="D356" s="68"/>
      <c r="E356" s="12" t="s">
        <v>10</v>
      </c>
      <c r="F356" s="3" t="s">
        <v>9</v>
      </c>
      <c r="G356" s="19">
        <f>94910.32-3967.7-37324.66</f>
        <v>53617.960000000006</v>
      </c>
      <c r="H356" s="19">
        <v>75319.3</v>
      </c>
      <c r="I356" s="19">
        <v>58520.35</v>
      </c>
      <c r="J356" s="69"/>
    </row>
    <row r="357" spans="1:14" ht="29.25" customHeight="1" x14ac:dyDescent="0.25">
      <c r="A357" s="69"/>
      <c r="B357" s="69"/>
      <c r="C357" s="68"/>
      <c r="D357" s="68"/>
      <c r="E357" s="12" t="s">
        <v>11</v>
      </c>
      <c r="F357" s="3" t="s">
        <v>9</v>
      </c>
      <c r="G357" s="19">
        <v>0</v>
      </c>
      <c r="H357" s="19">
        <v>0</v>
      </c>
      <c r="I357" s="19">
        <v>0</v>
      </c>
      <c r="J357" s="69"/>
    </row>
    <row r="358" spans="1:14" ht="31.5" customHeight="1" x14ac:dyDescent="0.25">
      <c r="A358" s="78" t="s">
        <v>99</v>
      </c>
      <c r="B358" s="67" t="s">
        <v>5</v>
      </c>
      <c r="C358" s="68">
        <v>45292</v>
      </c>
      <c r="D358" s="68">
        <v>46387</v>
      </c>
      <c r="E358" s="12" t="s">
        <v>6</v>
      </c>
      <c r="F358" s="3" t="s">
        <v>53</v>
      </c>
      <c r="G358" s="19">
        <f>SUM(G359:G361)</f>
        <v>8727299.1600000001</v>
      </c>
      <c r="H358" s="19">
        <f t="shared" ref="H358" si="94">SUM(H359:H361)</f>
        <v>5590289.25</v>
      </c>
      <c r="I358" s="19">
        <f t="shared" ref="I358" si="95">SUM(I359:I361)</f>
        <v>5819065.5999999996</v>
      </c>
      <c r="J358" s="69" t="s">
        <v>97</v>
      </c>
    </row>
    <row r="359" spans="1:14" ht="31.5" customHeight="1" x14ac:dyDescent="0.25">
      <c r="A359" s="78"/>
      <c r="B359" s="67"/>
      <c r="C359" s="68"/>
      <c r="D359" s="68"/>
      <c r="E359" s="12" t="s">
        <v>8</v>
      </c>
      <c r="F359" s="3" t="s">
        <v>9</v>
      </c>
      <c r="G359" s="19">
        <v>0</v>
      </c>
      <c r="H359" s="19">
        <v>0</v>
      </c>
      <c r="I359" s="19">
        <v>0</v>
      </c>
      <c r="J359" s="69"/>
    </row>
    <row r="360" spans="1:14" ht="31.5" customHeight="1" x14ac:dyDescent="0.25">
      <c r="A360" s="78"/>
      <c r="B360" s="67"/>
      <c r="C360" s="68"/>
      <c r="D360" s="68"/>
      <c r="E360" s="12" t="s">
        <v>10</v>
      </c>
      <c r="F360" s="3" t="s">
        <v>9</v>
      </c>
      <c r="G360" s="19">
        <f>5560952.91+3166346.25</f>
        <v>8727299.1600000001</v>
      </c>
      <c r="H360" s="19">
        <v>5590289.25</v>
      </c>
      <c r="I360" s="19">
        <v>5819065.5999999996</v>
      </c>
      <c r="J360" s="69"/>
    </row>
    <row r="361" spans="1:14" ht="31.5" customHeight="1" x14ac:dyDescent="0.25">
      <c r="A361" s="78"/>
      <c r="B361" s="67"/>
      <c r="C361" s="68"/>
      <c r="D361" s="68"/>
      <c r="E361" s="12" t="s">
        <v>11</v>
      </c>
      <c r="F361" s="3" t="s">
        <v>9</v>
      </c>
      <c r="G361" s="19">
        <v>0</v>
      </c>
      <c r="H361" s="19">
        <v>0</v>
      </c>
      <c r="I361" s="19">
        <v>0</v>
      </c>
      <c r="J361" s="69"/>
    </row>
    <row r="362" spans="1:14" ht="26.25" customHeight="1" x14ac:dyDescent="0.25">
      <c r="A362" s="69" t="s">
        <v>54</v>
      </c>
      <c r="B362" s="67" t="s">
        <v>5</v>
      </c>
      <c r="C362" s="68">
        <v>45292</v>
      </c>
      <c r="D362" s="68">
        <v>46387</v>
      </c>
      <c r="E362" s="12" t="s">
        <v>6</v>
      </c>
      <c r="F362" s="3" t="s">
        <v>55</v>
      </c>
      <c r="G362" s="19">
        <f>SUM(G363:G365)</f>
        <v>171854.16000000003</v>
      </c>
      <c r="H362" s="19">
        <f t="shared" ref="H362" si="96">SUM(H363:H365)</f>
        <v>249015.3</v>
      </c>
      <c r="I362" s="19">
        <f t="shared" ref="I362" si="97">SUM(I363:I365)</f>
        <v>131258.94</v>
      </c>
      <c r="J362" s="69" t="s">
        <v>98</v>
      </c>
    </row>
    <row r="363" spans="1:14" ht="26.25" customHeight="1" x14ac:dyDescent="0.25">
      <c r="A363" s="69"/>
      <c r="B363" s="67"/>
      <c r="C363" s="68"/>
      <c r="D363" s="68"/>
      <c r="E363" s="12" t="s">
        <v>8</v>
      </c>
      <c r="F363" s="3" t="s">
        <v>9</v>
      </c>
      <c r="G363" s="19">
        <v>0</v>
      </c>
      <c r="H363" s="19">
        <v>0</v>
      </c>
      <c r="I363" s="19">
        <v>0</v>
      </c>
      <c r="J363" s="69"/>
    </row>
    <row r="364" spans="1:14" ht="26.25" customHeight="1" x14ac:dyDescent="0.25">
      <c r="A364" s="69"/>
      <c r="B364" s="67"/>
      <c r="C364" s="68"/>
      <c r="D364" s="68"/>
      <c r="E364" s="12" t="s">
        <v>10</v>
      </c>
      <c r="F364" s="3" t="s">
        <v>9</v>
      </c>
      <c r="G364" s="19">
        <f>236082.5+261578.54-325806.88</f>
        <v>171854.16000000003</v>
      </c>
      <c r="H364" s="19">
        <v>249015.3</v>
      </c>
      <c r="I364" s="19">
        <v>131258.94</v>
      </c>
      <c r="J364" s="69"/>
    </row>
    <row r="365" spans="1:14" ht="26.25" customHeight="1" x14ac:dyDescent="0.25">
      <c r="A365" s="69"/>
      <c r="B365" s="67"/>
      <c r="C365" s="68"/>
      <c r="D365" s="68"/>
      <c r="E365" s="12" t="s">
        <v>11</v>
      </c>
      <c r="F365" s="3" t="s">
        <v>9</v>
      </c>
      <c r="G365" s="19">
        <v>0</v>
      </c>
      <c r="H365" s="19">
        <v>0</v>
      </c>
      <c r="I365" s="19">
        <v>0</v>
      </c>
      <c r="J365" s="69"/>
    </row>
    <row r="366" spans="1:14" ht="26.25" customHeight="1" x14ac:dyDescent="0.25">
      <c r="A366" s="69" t="s">
        <v>38</v>
      </c>
      <c r="B366" s="67" t="s">
        <v>5</v>
      </c>
      <c r="C366" s="68">
        <v>45292</v>
      </c>
      <c r="D366" s="68">
        <v>46387</v>
      </c>
      <c r="E366" s="12" t="s">
        <v>6</v>
      </c>
      <c r="F366" s="3" t="s">
        <v>126</v>
      </c>
      <c r="G366" s="19">
        <f>SUM(G367:G369)</f>
        <v>13697810.4</v>
      </c>
      <c r="H366" s="19">
        <f t="shared" ref="H366" si="98">SUM(H367:H369)</f>
        <v>11324819.300000001</v>
      </c>
      <c r="I366" s="19">
        <f t="shared" ref="I366" si="99">SUM(I367:I369)</f>
        <v>11468254.699999999</v>
      </c>
      <c r="J366" s="69" t="s">
        <v>91</v>
      </c>
    </row>
    <row r="367" spans="1:14" ht="26.25" customHeight="1" x14ac:dyDescent="0.25">
      <c r="A367" s="69"/>
      <c r="B367" s="67"/>
      <c r="C367" s="68"/>
      <c r="D367" s="68"/>
      <c r="E367" s="12" t="s">
        <v>8</v>
      </c>
      <c r="F367" s="3" t="s">
        <v>9</v>
      </c>
      <c r="G367" s="19">
        <v>0</v>
      </c>
      <c r="H367" s="19">
        <v>0</v>
      </c>
      <c r="I367" s="19">
        <v>0</v>
      </c>
      <c r="J367" s="69"/>
    </row>
    <row r="368" spans="1:14" ht="26.25" customHeight="1" x14ac:dyDescent="0.25">
      <c r="A368" s="69"/>
      <c r="B368" s="67"/>
      <c r="C368" s="68"/>
      <c r="D368" s="68"/>
      <c r="E368" s="12" t="s">
        <v>10</v>
      </c>
      <c r="F368" s="3" t="s">
        <v>9</v>
      </c>
      <c r="G368" s="19">
        <f>11186900.4+2510910</f>
        <v>13697810.4</v>
      </c>
      <c r="H368" s="19">
        <v>11324819.300000001</v>
      </c>
      <c r="I368" s="19">
        <v>11468254.699999999</v>
      </c>
      <c r="J368" s="69"/>
      <c r="L368" s="28"/>
      <c r="M368" s="28"/>
      <c r="N368" s="28"/>
    </row>
    <row r="369" spans="1:14" ht="26.25" customHeight="1" x14ac:dyDescent="0.25">
      <c r="A369" s="69"/>
      <c r="B369" s="67"/>
      <c r="C369" s="68"/>
      <c r="D369" s="68"/>
      <c r="E369" s="12" t="s">
        <v>11</v>
      </c>
      <c r="F369" s="3" t="s">
        <v>9</v>
      </c>
      <c r="G369" s="19">
        <v>0</v>
      </c>
      <c r="H369" s="19">
        <v>0</v>
      </c>
      <c r="I369" s="19">
        <v>0</v>
      </c>
      <c r="J369" s="69"/>
      <c r="L369" s="29"/>
      <c r="M369" s="29"/>
      <c r="N369" s="29"/>
    </row>
    <row r="370" spans="1:14" ht="30.75" customHeight="1" x14ac:dyDescent="0.25">
      <c r="A370" s="69" t="s">
        <v>4</v>
      </c>
      <c r="B370" s="69" t="s">
        <v>5</v>
      </c>
      <c r="C370" s="68">
        <v>45292</v>
      </c>
      <c r="D370" s="68">
        <v>46387</v>
      </c>
      <c r="E370" s="8" t="s">
        <v>6</v>
      </c>
      <c r="F370" s="3" t="s">
        <v>7</v>
      </c>
      <c r="G370" s="19">
        <f>SUM(G371:G373)</f>
        <v>30944989.469999999</v>
      </c>
      <c r="H370" s="19">
        <f>SUM(H371:H373)</f>
        <v>30133829.560000002</v>
      </c>
      <c r="I370" s="19">
        <f t="shared" ref="I370" si="100">SUM(I371:I373)</f>
        <v>28766147.129999999</v>
      </c>
      <c r="J370" s="69" t="s">
        <v>97</v>
      </c>
    </row>
    <row r="371" spans="1:14" ht="30.75" customHeight="1" x14ac:dyDescent="0.25">
      <c r="A371" s="69"/>
      <c r="B371" s="69"/>
      <c r="C371" s="68"/>
      <c r="D371" s="68"/>
      <c r="E371" s="8" t="s">
        <v>8</v>
      </c>
      <c r="F371" s="3" t="s">
        <v>9</v>
      </c>
      <c r="G371" s="20">
        <v>22589842.309999999</v>
      </c>
      <c r="H371" s="20">
        <v>22299033.859999999</v>
      </c>
      <c r="I371" s="20">
        <v>20999287.399999999</v>
      </c>
      <c r="J371" s="69"/>
    </row>
    <row r="372" spans="1:14" ht="30.75" customHeight="1" x14ac:dyDescent="0.25">
      <c r="A372" s="69"/>
      <c r="B372" s="69"/>
      <c r="C372" s="68"/>
      <c r="D372" s="68"/>
      <c r="E372" s="8" t="s">
        <v>10</v>
      </c>
      <c r="F372" s="3" t="s">
        <v>9</v>
      </c>
      <c r="G372" s="20">
        <v>7736247.3399999999</v>
      </c>
      <c r="H372" s="20">
        <v>7232119.0999999996</v>
      </c>
      <c r="I372" s="20">
        <v>7191536.7800000003</v>
      </c>
      <c r="J372" s="69"/>
    </row>
    <row r="373" spans="1:14" ht="30.75" customHeight="1" x14ac:dyDescent="0.25">
      <c r="A373" s="69"/>
      <c r="B373" s="69"/>
      <c r="C373" s="68"/>
      <c r="D373" s="68"/>
      <c r="E373" s="8" t="s">
        <v>11</v>
      </c>
      <c r="F373" s="3" t="s">
        <v>9</v>
      </c>
      <c r="G373" s="20">
        <v>618899.81999999995</v>
      </c>
      <c r="H373" s="20">
        <v>602676.6</v>
      </c>
      <c r="I373" s="20">
        <v>575322.94999999995</v>
      </c>
      <c r="J373" s="69"/>
    </row>
    <row r="374" spans="1:14" ht="39.75" customHeight="1" x14ac:dyDescent="0.25">
      <c r="A374" s="69" t="s">
        <v>284</v>
      </c>
      <c r="B374" s="69" t="s">
        <v>5</v>
      </c>
      <c r="C374" s="68">
        <v>45292</v>
      </c>
      <c r="D374" s="68">
        <v>45657</v>
      </c>
      <c r="E374" s="58" t="s">
        <v>6</v>
      </c>
      <c r="F374" s="59" t="s">
        <v>286</v>
      </c>
      <c r="G374" s="19">
        <f>SUM(G375:G377)</f>
        <v>416600</v>
      </c>
      <c r="H374" s="19">
        <f>SUM(H375:H377)</f>
        <v>0</v>
      </c>
      <c r="I374" s="19">
        <f t="shared" ref="I374" si="101">SUM(I375:I377)</f>
        <v>0</v>
      </c>
      <c r="J374" s="69" t="s">
        <v>285</v>
      </c>
    </row>
    <row r="375" spans="1:14" ht="39.75" customHeight="1" x14ac:dyDescent="0.25">
      <c r="A375" s="69"/>
      <c r="B375" s="69"/>
      <c r="C375" s="68"/>
      <c r="D375" s="68"/>
      <c r="E375" s="58" t="s">
        <v>8</v>
      </c>
      <c r="F375" s="59" t="s">
        <v>9</v>
      </c>
      <c r="G375" s="20">
        <v>416600</v>
      </c>
      <c r="H375" s="20">
        <v>0</v>
      </c>
      <c r="I375" s="20">
        <v>0</v>
      </c>
      <c r="J375" s="69"/>
    </row>
    <row r="376" spans="1:14" ht="39.75" customHeight="1" x14ac:dyDescent="0.25">
      <c r="A376" s="69"/>
      <c r="B376" s="69"/>
      <c r="C376" s="68"/>
      <c r="D376" s="68"/>
      <c r="E376" s="58" t="s">
        <v>10</v>
      </c>
      <c r="F376" s="59" t="s">
        <v>9</v>
      </c>
      <c r="G376" s="20">
        <v>0</v>
      </c>
      <c r="H376" s="20">
        <v>0</v>
      </c>
      <c r="I376" s="20">
        <v>0</v>
      </c>
      <c r="J376" s="69"/>
    </row>
    <row r="377" spans="1:14" ht="39.75" customHeight="1" x14ac:dyDescent="0.25">
      <c r="A377" s="69"/>
      <c r="B377" s="69"/>
      <c r="C377" s="68"/>
      <c r="D377" s="68"/>
      <c r="E377" s="58" t="s">
        <v>11</v>
      </c>
      <c r="F377" s="59" t="s">
        <v>9</v>
      </c>
      <c r="G377" s="20">
        <v>0</v>
      </c>
      <c r="H377" s="20">
        <v>0</v>
      </c>
      <c r="I377" s="20">
        <v>0</v>
      </c>
      <c r="J377" s="69"/>
    </row>
    <row r="378" spans="1:14" ht="33.75" customHeight="1" x14ac:dyDescent="0.25">
      <c r="A378" s="69" t="s">
        <v>233</v>
      </c>
      <c r="B378" s="67" t="s">
        <v>5</v>
      </c>
      <c r="C378" s="68">
        <v>45292</v>
      </c>
      <c r="D378" s="68">
        <v>46387</v>
      </c>
      <c r="E378" s="12" t="s">
        <v>6</v>
      </c>
      <c r="F378" s="3" t="s">
        <v>127</v>
      </c>
      <c r="G378" s="19">
        <f>SUM(G379:G381)</f>
        <v>1155407.74</v>
      </c>
      <c r="H378" s="19">
        <f t="shared" ref="H378:I378" si="102">SUM(H379:H381)</f>
        <v>923403.4</v>
      </c>
      <c r="I378" s="19">
        <f t="shared" si="102"/>
        <v>923403.4</v>
      </c>
      <c r="J378" s="69" t="s">
        <v>128</v>
      </c>
    </row>
    <row r="379" spans="1:14" ht="33.75" customHeight="1" x14ac:dyDescent="0.25">
      <c r="A379" s="69"/>
      <c r="B379" s="67"/>
      <c r="C379" s="68"/>
      <c r="D379" s="68"/>
      <c r="E379" s="12" t="s">
        <v>8</v>
      </c>
      <c r="F379" s="3" t="s">
        <v>9</v>
      </c>
      <c r="G379" s="19">
        <v>0</v>
      </c>
      <c r="H379" s="19">
        <v>0</v>
      </c>
      <c r="I379" s="19">
        <v>0</v>
      </c>
      <c r="J379" s="69"/>
      <c r="K379" s="40"/>
      <c r="L379" s="40"/>
      <c r="M379" s="40"/>
      <c r="N379" s="40"/>
    </row>
    <row r="380" spans="1:14" ht="33.75" customHeight="1" x14ac:dyDescent="0.25">
      <c r="A380" s="69"/>
      <c r="B380" s="67"/>
      <c r="C380" s="68"/>
      <c r="D380" s="68"/>
      <c r="E380" s="12" t="s">
        <v>10</v>
      </c>
      <c r="F380" s="3" t="s">
        <v>9</v>
      </c>
      <c r="G380" s="19">
        <f>923403.4+232004.34</f>
        <v>1155407.74</v>
      </c>
      <c r="H380" s="19">
        <v>923403.4</v>
      </c>
      <c r="I380" s="19">
        <v>923403.4</v>
      </c>
      <c r="J380" s="69"/>
      <c r="K380" s="40"/>
      <c r="L380" s="40"/>
      <c r="M380" s="40"/>
      <c r="N380" s="40"/>
    </row>
    <row r="381" spans="1:14" ht="33.75" customHeight="1" x14ac:dyDescent="0.25">
      <c r="A381" s="69"/>
      <c r="B381" s="67"/>
      <c r="C381" s="68"/>
      <c r="D381" s="68"/>
      <c r="E381" s="12" t="s">
        <v>11</v>
      </c>
      <c r="F381" s="3" t="s">
        <v>9</v>
      </c>
      <c r="G381" s="19">
        <v>0</v>
      </c>
      <c r="H381" s="19">
        <v>0</v>
      </c>
      <c r="I381" s="19">
        <v>0</v>
      </c>
      <c r="J381" s="69"/>
      <c r="K381" s="40"/>
      <c r="L381" s="40"/>
      <c r="M381" s="40"/>
      <c r="N381" s="40"/>
    </row>
    <row r="382" spans="1:14" ht="23.25" customHeight="1" x14ac:dyDescent="0.25">
      <c r="A382" s="69" t="s">
        <v>234</v>
      </c>
      <c r="B382" s="67" t="s">
        <v>5</v>
      </c>
      <c r="C382" s="68">
        <v>45505</v>
      </c>
      <c r="D382" s="68">
        <v>45657</v>
      </c>
      <c r="E382" s="37" t="s">
        <v>6</v>
      </c>
      <c r="F382" s="39" t="s">
        <v>235</v>
      </c>
      <c r="G382" s="19">
        <f>SUM(G383:G385)</f>
        <v>737850</v>
      </c>
      <c r="H382" s="19">
        <f t="shared" ref="H382:I382" si="103">SUM(H383:H385)</f>
        <v>0</v>
      </c>
      <c r="I382" s="19">
        <f t="shared" si="103"/>
        <v>0</v>
      </c>
      <c r="J382" s="69" t="s">
        <v>236</v>
      </c>
      <c r="K382" s="40"/>
      <c r="L382" s="40"/>
      <c r="M382" s="40"/>
      <c r="N382" s="40"/>
    </row>
    <row r="383" spans="1:14" ht="33.75" customHeight="1" x14ac:dyDescent="0.25">
      <c r="A383" s="69"/>
      <c r="B383" s="67"/>
      <c r="C383" s="68"/>
      <c r="D383" s="68"/>
      <c r="E383" s="37" t="s">
        <v>8</v>
      </c>
      <c r="F383" s="39" t="s">
        <v>9</v>
      </c>
      <c r="G383" s="19">
        <v>0</v>
      </c>
      <c r="H383" s="19">
        <v>0</v>
      </c>
      <c r="I383" s="19">
        <v>0</v>
      </c>
      <c r="J383" s="69"/>
      <c r="K383" s="40"/>
      <c r="L383" s="40"/>
      <c r="M383" s="40"/>
      <c r="N383" s="40"/>
    </row>
    <row r="384" spans="1:14" ht="33.75" customHeight="1" x14ac:dyDescent="0.25">
      <c r="A384" s="69"/>
      <c r="B384" s="67"/>
      <c r="C384" s="68"/>
      <c r="D384" s="68"/>
      <c r="E384" s="37" t="s">
        <v>10</v>
      </c>
      <c r="F384" s="39" t="s">
        <v>9</v>
      </c>
      <c r="G384" s="19">
        <v>0</v>
      </c>
      <c r="H384" s="19">
        <v>0</v>
      </c>
      <c r="I384" s="19">
        <v>0</v>
      </c>
      <c r="J384" s="69"/>
      <c r="K384" s="40"/>
      <c r="L384" s="40"/>
      <c r="M384" s="40"/>
      <c r="N384" s="40"/>
    </row>
    <row r="385" spans="1:14" ht="20.25" customHeight="1" x14ac:dyDescent="0.25">
      <c r="A385" s="69"/>
      <c r="B385" s="67"/>
      <c r="C385" s="68"/>
      <c r="D385" s="68"/>
      <c r="E385" s="37" t="s">
        <v>11</v>
      </c>
      <c r="F385" s="39" t="s">
        <v>9</v>
      </c>
      <c r="G385" s="19">
        <f>955500-67650-150000</f>
        <v>737850</v>
      </c>
      <c r="H385" s="19">
        <v>0</v>
      </c>
      <c r="I385" s="19">
        <v>0</v>
      </c>
      <c r="J385" s="69"/>
      <c r="K385" s="40"/>
      <c r="L385" s="40"/>
      <c r="M385" s="40"/>
      <c r="N385" s="40"/>
    </row>
    <row r="386" spans="1:14" ht="15.75" customHeight="1" x14ac:dyDescent="0.25">
      <c r="A386" s="74" t="s">
        <v>59</v>
      </c>
      <c r="B386" s="74"/>
      <c r="C386" s="74"/>
      <c r="D386" s="74"/>
      <c r="E386" s="74"/>
      <c r="F386" s="74"/>
      <c r="G386" s="74"/>
      <c r="H386" s="74"/>
      <c r="I386" s="74"/>
      <c r="J386" s="74"/>
    </row>
    <row r="387" spans="1:14" ht="24.75" customHeight="1" x14ac:dyDescent="0.25">
      <c r="A387" s="69" t="s">
        <v>29</v>
      </c>
      <c r="B387" s="67" t="s">
        <v>60</v>
      </c>
      <c r="C387" s="68">
        <v>45292</v>
      </c>
      <c r="D387" s="68">
        <v>46387</v>
      </c>
      <c r="E387" s="12" t="s">
        <v>6</v>
      </c>
      <c r="F387" s="3" t="s">
        <v>61</v>
      </c>
      <c r="G387" s="4">
        <f>SUM(G388:G390)</f>
        <v>109013268.41</v>
      </c>
      <c r="H387" s="4">
        <f t="shared" ref="H387" si="104">SUM(H388:H390)</f>
        <v>105116388</v>
      </c>
      <c r="I387" s="4">
        <f t="shared" ref="I387" si="105">SUM(I388:I390)</f>
        <v>110375488</v>
      </c>
      <c r="J387" s="69" t="s">
        <v>31</v>
      </c>
    </row>
    <row r="388" spans="1:14" ht="24.75" customHeight="1" x14ac:dyDescent="0.25">
      <c r="A388" s="69"/>
      <c r="B388" s="67"/>
      <c r="C388" s="68"/>
      <c r="D388" s="68"/>
      <c r="E388" s="12" t="s">
        <v>8</v>
      </c>
      <c r="F388" s="3" t="s">
        <v>9</v>
      </c>
      <c r="G388" s="4">
        <v>0</v>
      </c>
      <c r="H388" s="4">
        <v>0</v>
      </c>
      <c r="I388" s="4">
        <v>0</v>
      </c>
      <c r="J388" s="69"/>
    </row>
    <row r="389" spans="1:14" ht="24.75" customHeight="1" x14ac:dyDescent="0.25">
      <c r="A389" s="69"/>
      <c r="B389" s="67"/>
      <c r="C389" s="68"/>
      <c r="D389" s="68"/>
      <c r="E389" s="12" t="s">
        <v>10</v>
      </c>
      <c r="F389" s="3" t="s">
        <v>9</v>
      </c>
      <c r="G389" s="4">
        <v>0</v>
      </c>
      <c r="H389" s="4">
        <v>0</v>
      </c>
      <c r="I389" s="4">
        <v>0</v>
      </c>
      <c r="J389" s="69"/>
    </row>
    <row r="390" spans="1:14" ht="24.75" customHeight="1" x14ac:dyDescent="0.25">
      <c r="A390" s="69"/>
      <c r="B390" s="67"/>
      <c r="C390" s="68"/>
      <c r="D390" s="68"/>
      <c r="E390" s="12" t="s">
        <v>11</v>
      </c>
      <c r="F390" s="3" t="s">
        <v>9</v>
      </c>
      <c r="G390" s="4">
        <f>91329400+1677564.8+2608389.11+310703.48-319468.62+10000+45000+80000+239468.62+437300-394785.82+1000000+1000000-577260+31919.02+1000000+394785.82+50000+35000+30680+5572+174000+15000+1200000+8630000</f>
        <v>109013268.41</v>
      </c>
      <c r="H390" s="4">
        <v>105116388</v>
      </c>
      <c r="I390" s="4">
        <v>110375488</v>
      </c>
      <c r="J390" s="69"/>
    </row>
    <row r="391" spans="1:14" ht="24.75" customHeight="1" x14ac:dyDescent="0.25">
      <c r="A391" s="69" t="s">
        <v>163</v>
      </c>
      <c r="B391" s="67" t="s">
        <v>60</v>
      </c>
      <c r="C391" s="68">
        <v>45292</v>
      </c>
      <c r="D391" s="68">
        <v>45657</v>
      </c>
      <c r="E391" s="12" t="s">
        <v>6</v>
      </c>
      <c r="F391" s="3" t="s">
        <v>164</v>
      </c>
      <c r="G391" s="4">
        <f>SUM(G392:G394)</f>
        <v>6371400</v>
      </c>
      <c r="H391" s="4">
        <f t="shared" ref="H391:I391" si="106">SUM(H392:H394)</f>
        <v>0</v>
      </c>
      <c r="I391" s="4">
        <f t="shared" si="106"/>
        <v>0</v>
      </c>
      <c r="J391" s="69" t="s">
        <v>165</v>
      </c>
    </row>
    <row r="392" spans="1:14" ht="24.75" customHeight="1" x14ac:dyDescent="0.25">
      <c r="A392" s="69"/>
      <c r="B392" s="67"/>
      <c r="C392" s="68"/>
      <c r="D392" s="68"/>
      <c r="E392" s="12" t="s">
        <v>8</v>
      </c>
      <c r="F392" s="3" t="s">
        <v>9</v>
      </c>
      <c r="G392" s="4">
        <v>0</v>
      </c>
      <c r="H392" s="4">
        <v>0</v>
      </c>
      <c r="I392" s="4">
        <v>0</v>
      </c>
      <c r="J392" s="69"/>
    </row>
    <row r="393" spans="1:14" ht="24.75" customHeight="1" x14ac:dyDescent="0.25">
      <c r="A393" s="69"/>
      <c r="B393" s="67"/>
      <c r="C393" s="68"/>
      <c r="D393" s="68"/>
      <c r="E393" s="12" t="s">
        <v>10</v>
      </c>
      <c r="F393" s="3" t="s">
        <v>9</v>
      </c>
      <c r="G393" s="4">
        <v>0</v>
      </c>
      <c r="H393" s="4">
        <v>0</v>
      </c>
      <c r="I393" s="4">
        <v>0</v>
      </c>
      <c r="J393" s="69"/>
    </row>
    <row r="394" spans="1:14" ht="24.75" customHeight="1" x14ac:dyDescent="0.25">
      <c r="A394" s="69"/>
      <c r="B394" s="67"/>
      <c r="C394" s="68"/>
      <c r="D394" s="68"/>
      <c r="E394" s="12" t="s">
        <v>11</v>
      </c>
      <c r="F394" s="3" t="s">
        <v>9</v>
      </c>
      <c r="G394" s="4">
        <f>10571400-1000000-1000000-1000000-1200000</f>
        <v>6371400</v>
      </c>
      <c r="H394" s="4">
        <v>0</v>
      </c>
      <c r="I394" s="4">
        <v>0</v>
      </c>
      <c r="J394" s="69"/>
    </row>
    <row r="395" spans="1:14" ht="24.75" customHeight="1" x14ac:dyDescent="0.25">
      <c r="A395" s="69" t="s">
        <v>289</v>
      </c>
      <c r="B395" s="69" t="s">
        <v>122</v>
      </c>
      <c r="C395" s="68">
        <v>45292</v>
      </c>
      <c r="D395" s="68">
        <v>45657</v>
      </c>
      <c r="E395" s="60" t="s">
        <v>6</v>
      </c>
      <c r="F395" s="61" t="s">
        <v>124</v>
      </c>
      <c r="G395" s="4">
        <f>SUM(G396:G398)</f>
        <v>150000</v>
      </c>
      <c r="H395" s="4">
        <f t="shared" ref="H395:I395" si="107">SUM(H396:H398)</f>
        <v>0</v>
      </c>
      <c r="I395" s="4">
        <f t="shared" si="107"/>
        <v>0</v>
      </c>
      <c r="J395" s="69" t="s">
        <v>287</v>
      </c>
    </row>
    <row r="396" spans="1:14" ht="24.75" customHeight="1" x14ac:dyDescent="0.25">
      <c r="A396" s="69"/>
      <c r="B396" s="69"/>
      <c r="C396" s="68"/>
      <c r="D396" s="68"/>
      <c r="E396" s="60" t="s">
        <v>8</v>
      </c>
      <c r="F396" s="61" t="s">
        <v>9</v>
      </c>
      <c r="G396" s="4">
        <v>0</v>
      </c>
      <c r="H396" s="4">
        <v>0</v>
      </c>
      <c r="I396" s="4">
        <v>0</v>
      </c>
      <c r="J396" s="69"/>
    </row>
    <row r="397" spans="1:14" ht="24.75" customHeight="1" x14ac:dyDescent="0.25">
      <c r="A397" s="69"/>
      <c r="B397" s="69"/>
      <c r="C397" s="68"/>
      <c r="D397" s="68"/>
      <c r="E397" s="60" t="s">
        <v>10</v>
      </c>
      <c r="F397" s="61" t="s">
        <v>9</v>
      </c>
      <c r="G397" s="4">
        <v>0</v>
      </c>
      <c r="H397" s="4">
        <v>0</v>
      </c>
      <c r="I397" s="4">
        <v>0</v>
      </c>
      <c r="J397" s="69"/>
    </row>
    <row r="398" spans="1:14" ht="24.75" customHeight="1" x14ac:dyDescent="0.25">
      <c r="A398" s="69"/>
      <c r="B398" s="69"/>
      <c r="C398" s="68"/>
      <c r="D398" s="68"/>
      <c r="E398" s="60" t="s">
        <v>11</v>
      </c>
      <c r="F398" s="61" t="s">
        <v>9</v>
      </c>
      <c r="G398" s="4">
        <v>150000</v>
      </c>
      <c r="H398" s="4">
        <v>0</v>
      </c>
      <c r="I398" s="4">
        <v>0</v>
      </c>
      <c r="J398" s="69"/>
    </row>
    <row r="399" spans="1:14" ht="26.25" customHeight="1" x14ac:dyDescent="0.25">
      <c r="A399" s="69" t="s">
        <v>227</v>
      </c>
      <c r="B399" s="69" t="s">
        <v>122</v>
      </c>
      <c r="C399" s="68">
        <v>45292</v>
      </c>
      <c r="D399" s="68">
        <v>46022</v>
      </c>
      <c r="E399" s="12" t="s">
        <v>6</v>
      </c>
      <c r="F399" s="3" t="s">
        <v>124</v>
      </c>
      <c r="G399" s="4">
        <f>SUM(G400:G402)</f>
        <v>482785.82</v>
      </c>
      <c r="H399" s="4">
        <f t="shared" ref="H399:I399" si="108">SUM(H400:H402)</f>
        <v>400000</v>
      </c>
      <c r="I399" s="4">
        <f t="shared" si="108"/>
        <v>0</v>
      </c>
      <c r="J399" s="69" t="s">
        <v>149</v>
      </c>
    </row>
    <row r="400" spans="1:14" ht="26.25" customHeight="1" x14ac:dyDescent="0.25">
      <c r="A400" s="69"/>
      <c r="B400" s="69"/>
      <c r="C400" s="68"/>
      <c r="D400" s="68"/>
      <c r="E400" s="12" t="s">
        <v>8</v>
      </c>
      <c r="F400" s="3" t="s">
        <v>9</v>
      </c>
      <c r="G400" s="4">
        <v>0</v>
      </c>
      <c r="H400" s="4">
        <v>0</v>
      </c>
      <c r="I400" s="4">
        <v>0</v>
      </c>
      <c r="J400" s="69"/>
    </row>
    <row r="401" spans="1:10" ht="26.25" customHeight="1" x14ac:dyDescent="0.25">
      <c r="A401" s="69"/>
      <c r="B401" s="69"/>
      <c r="C401" s="68"/>
      <c r="D401" s="68"/>
      <c r="E401" s="12" t="s">
        <v>10</v>
      </c>
      <c r="F401" s="3" t="s">
        <v>9</v>
      </c>
      <c r="G401" s="4">
        <v>0</v>
      </c>
      <c r="H401" s="4">
        <v>0</v>
      </c>
      <c r="I401" s="4">
        <v>0</v>
      </c>
      <c r="J401" s="69"/>
    </row>
    <row r="402" spans="1:10" ht="26.25" customHeight="1" x14ac:dyDescent="0.25">
      <c r="A402" s="69"/>
      <c r="B402" s="69"/>
      <c r="C402" s="68"/>
      <c r="D402" s="68"/>
      <c r="E402" s="12" t="s">
        <v>11</v>
      </c>
      <c r="F402" s="3" t="s">
        <v>9</v>
      </c>
      <c r="G402" s="4">
        <f>88000+394785.82</f>
        <v>482785.82</v>
      </c>
      <c r="H402" s="4">
        <v>400000</v>
      </c>
      <c r="I402" s="4">
        <v>0</v>
      </c>
      <c r="J402" s="69"/>
    </row>
    <row r="403" spans="1:10" ht="26.25" customHeight="1" x14ac:dyDescent="0.25">
      <c r="A403" s="69" t="s">
        <v>288</v>
      </c>
      <c r="B403" s="69" t="s">
        <v>166</v>
      </c>
      <c r="C403" s="68">
        <v>45292</v>
      </c>
      <c r="D403" s="68">
        <v>45292</v>
      </c>
      <c r="E403" s="62" t="s">
        <v>6</v>
      </c>
      <c r="F403" s="64" t="s">
        <v>124</v>
      </c>
      <c r="G403" s="4">
        <f>SUM(G404:G407)</f>
        <v>88265.900000000009</v>
      </c>
      <c r="H403" s="4">
        <f t="shared" ref="H403:I403" si="109">SUM(H404:H407)</f>
        <v>0</v>
      </c>
      <c r="I403" s="4">
        <f t="shared" si="109"/>
        <v>0</v>
      </c>
      <c r="J403" s="69" t="s">
        <v>136</v>
      </c>
    </row>
    <row r="404" spans="1:10" ht="26.25" customHeight="1" x14ac:dyDescent="0.25">
      <c r="A404" s="69"/>
      <c r="B404" s="69"/>
      <c r="C404" s="68"/>
      <c r="D404" s="68"/>
      <c r="E404" s="62" t="s">
        <v>8</v>
      </c>
      <c r="F404" s="63" t="s">
        <v>9</v>
      </c>
      <c r="G404" s="4">
        <v>0</v>
      </c>
      <c r="H404" s="4">
        <v>0</v>
      </c>
      <c r="I404" s="4">
        <v>0</v>
      </c>
      <c r="J404" s="69"/>
    </row>
    <row r="405" spans="1:10" ht="26.25" customHeight="1" x14ac:dyDescent="0.25">
      <c r="A405" s="69"/>
      <c r="B405" s="69"/>
      <c r="C405" s="68"/>
      <c r="D405" s="68"/>
      <c r="E405" s="62" t="s">
        <v>10</v>
      </c>
      <c r="F405" s="63" t="s">
        <v>9</v>
      </c>
      <c r="G405" s="4">
        <v>0</v>
      </c>
      <c r="H405" s="4">
        <v>0</v>
      </c>
      <c r="I405" s="4">
        <v>0</v>
      </c>
      <c r="J405" s="69"/>
    </row>
    <row r="406" spans="1:10" ht="26.25" customHeight="1" x14ac:dyDescent="0.25">
      <c r="A406" s="69"/>
      <c r="B406" s="69"/>
      <c r="C406" s="68"/>
      <c r="D406" s="68"/>
      <c r="E406" s="62" t="s">
        <v>11</v>
      </c>
      <c r="F406" s="63" t="s">
        <v>9</v>
      </c>
      <c r="G406" s="4">
        <v>58843.930000000022</v>
      </c>
      <c r="H406" s="4">
        <v>0</v>
      </c>
      <c r="I406" s="4">
        <v>0</v>
      </c>
      <c r="J406" s="69"/>
    </row>
    <row r="407" spans="1:10" ht="39.75" customHeight="1" x14ac:dyDescent="0.25">
      <c r="A407" s="69"/>
      <c r="B407" s="69"/>
      <c r="C407" s="68"/>
      <c r="D407" s="68"/>
      <c r="E407" s="62" t="s">
        <v>139</v>
      </c>
      <c r="F407" s="63" t="s">
        <v>9</v>
      </c>
      <c r="G407" s="4">
        <v>29421.969999999987</v>
      </c>
      <c r="H407" s="4">
        <v>0</v>
      </c>
      <c r="I407" s="4">
        <v>0</v>
      </c>
      <c r="J407" s="69"/>
    </row>
    <row r="408" spans="1:10" ht="24.75" customHeight="1" x14ac:dyDescent="0.25">
      <c r="A408" s="69" t="s">
        <v>167</v>
      </c>
      <c r="B408" s="69" t="s">
        <v>166</v>
      </c>
      <c r="C408" s="68">
        <v>45292</v>
      </c>
      <c r="D408" s="68">
        <v>45292</v>
      </c>
      <c r="E408" s="12" t="s">
        <v>6</v>
      </c>
      <c r="F408" s="3" t="s">
        <v>124</v>
      </c>
      <c r="G408" s="4">
        <f>SUM(G409:G411)</f>
        <v>493311.97</v>
      </c>
      <c r="H408" s="4">
        <f t="shared" ref="H408:I408" si="110">SUM(H409:H411)</f>
        <v>0</v>
      </c>
      <c r="I408" s="4">
        <f t="shared" si="110"/>
        <v>0</v>
      </c>
      <c r="J408" s="69" t="s">
        <v>136</v>
      </c>
    </row>
    <row r="409" spans="1:10" ht="24.75" customHeight="1" x14ac:dyDescent="0.25">
      <c r="A409" s="69"/>
      <c r="B409" s="69"/>
      <c r="C409" s="68"/>
      <c r="D409" s="68"/>
      <c r="E409" s="12" t="s">
        <v>8</v>
      </c>
      <c r="F409" s="3" t="s">
        <v>9</v>
      </c>
      <c r="G409" s="4">
        <v>0</v>
      </c>
      <c r="H409" s="4">
        <v>0</v>
      </c>
      <c r="I409" s="4">
        <v>0</v>
      </c>
      <c r="J409" s="69"/>
    </row>
    <row r="410" spans="1:10" ht="24.75" customHeight="1" x14ac:dyDescent="0.25">
      <c r="A410" s="69"/>
      <c r="B410" s="69"/>
      <c r="C410" s="68"/>
      <c r="D410" s="68"/>
      <c r="E410" s="12" t="s">
        <v>10</v>
      </c>
      <c r="F410" s="3" t="s">
        <v>9</v>
      </c>
      <c r="G410" s="4">
        <v>0</v>
      </c>
      <c r="H410" s="4">
        <v>0</v>
      </c>
      <c r="I410" s="4">
        <v>0</v>
      </c>
      <c r="J410" s="69"/>
    </row>
    <row r="411" spans="1:10" ht="24.75" customHeight="1" x14ac:dyDescent="0.25">
      <c r="A411" s="69"/>
      <c r="B411" s="69"/>
      <c r="C411" s="68"/>
      <c r="D411" s="68"/>
      <c r="E411" s="12" t="s">
        <v>11</v>
      </c>
      <c r="F411" s="3" t="s">
        <v>9</v>
      </c>
      <c r="G411" s="4">
        <f>285762.37+239468.62-31919.02</f>
        <v>493311.97</v>
      </c>
      <c r="H411" s="4">
        <v>0</v>
      </c>
      <c r="I411" s="4">
        <v>0</v>
      </c>
      <c r="J411" s="69"/>
    </row>
    <row r="412" spans="1:10" ht="24.75" customHeight="1" x14ac:dyDescent="0.25">
      <c r="A412" s="69" t="s">
        <v>279</v>
      </c>
      <c r="B412" s="69" t="s">
        <v>280</v>
      </c>
      <c r="C412" s="68">
        <v>45292</v>
      </c>
      <c r="D412" s="68">
        <v>46387</v>
      </c>
      <c r="E412" s="55" t="s">
        <v>6</v>
      </c>
      <c r="F412" s="57" t="s">
        <v>124</v>
      </c>
      <c r="G412" s="4">
        <f>SUM(G413:G415)</f>
        <v>101014.32</v>
      </c>
      <c r="H412" s="4">
        <f t="shared" ref="H412:I412" si="111">SUM(H413:H415)</f>
        <v>0</v>
      </c>
      <c r="I412" s="4">
        <f t="shared" si="111"/>
        <v>0</v>
      </c>
      <c r="J412" s="69" t="s">
        <v>134</v>
      </c>
    </row>
    <row r="413" spans="1:10" ht="24.75" customHeight="1" x14ac:dyDescent="0.25">
      <c r="A413" s="69"/>
      <c r="B413" s="69"/>
      <c r="C413" s="68"/>
      <c r="D413" s="68"/>
      <c r="E413" s="55" t="s">
        <v>8</v>
      </c>
      <c r="F413" s="57" t="s">
        <v>9</v>
      </c>
      <c r="G413" s="4">
        <v>0</v>
      </c>
      <c r="H413" s="4">
        <v>0</v>
      </c>
      <c r="I413" s="4">
        <v>0</v>
      </c>
      <c r="J413" s="69"/>
    </row>
    <row r="414" spans="1:10" ht="24.75" customHeight="1" x14ac:dyDescent="0.25">
      <c r="A414" s="69"/>
      <c r="B414" s="69"/>
      <c r="C414" s="68"/>
      <c r="D414" s="68"/>
      <c r="E414" s="55" t="s">
        <v>10</v>
      </c>
      <c r="F414" s="57" t="s">
        <v>9</v>
      </c>
      <c r="G414" s="4">
        <v>0</v>
      </c>
      <c r="H414" s="4">
        <v>0</v>
      </c>
      <c r="I414" s="4">
        <v>0</v>
      </c>
      <c r="J414" s="69"/>
    </row>
    <row r="415" spans="1:10" ht="24.75" customHeight="1" x14ac:dyDescent="0.25">
      <c r="A415" s="69"/>
      <c r="B415" s="69"/>
      <c r="C415" s="68"/>
      <c r="D415" s="68"/>
      <c r="E415" s="55" t="s">
        <v>11</v>
      </c>
      <c r="F415" s="57" t="s">
        <v>9</v>
      </c>
      <c r="G415" s="4">
        <f>65000+175000-138985.68</f>
        <v>101014.32</v>
      </c>
      <c r="H415" s="4">
        <v>0</v>
      </c>
      <c r="I415" s="4">
        <v>0</v>
      </c>
      <c r="J415" s="69"/>
    </row>
    <row r="416" spans="1:10" ht="28.5" customHeight="1" x14ac:dyDescent="0.25">
      <c r="A416" s="69" t="s">
        <v>295</v>
      </c>
      <c r="B416" s="69" t="s">
        <v>133</v>
      </c>
      <c r="C416" s="68">
        <v>45292</v>
      </c>
      <c r="D416" s="68">
        <v>46387</v>
      </c>
      <c r="E416" s="12" t="s">
        <v>6</v>
      </c>
      <c r="F416" s="3" t="s">
        <v>124</v>
      </c>
      <c r="G416" s="4">
        <f>SUM(G417:G419)</f>
        <v>957376.09</v>
      </c>
      <c r="H416" s="4">
        <f t="shared" ref="H416:I416" si="112">SUM(H417:H419)</f>
        <v>0</v>
      </c>
      <c r="I416" s="4">
        <f t="shared" si="112"/>
        <v>400000</v>
      </c>
      <c r="J416" s="69" t="s">
        <v>134</v>
      </c>
    </row>
    <row r="417" spans="1:10" ht="28.5" customHeight="1" x14ac:dyDescent="0.25">
      <c r="A417" s="69"/>
      <c r="B417" s="69"/>
      <c r="C417" s="68"/>
      <c r="D417" s="68"/>
      <c r="E417" s="12" t="s">
        <v>8</v>
      </c>
      <c r="F417" s="3" t="s">
        <v>9</v>
      </c>
      <c r="G417" s="4">
        <v>0</v>
      </c>
      <c r="H417" s="4">
        <v>0</v>
      </c>
      <c r="I417" s="4">
        <v>0</v>
      </c>
      <c r="J417" s="69"/>
    </row>
    <row r="418" spans="1:10" ht="28.5" customHeight="1" x14ac:dyDescent="0.25">
      <c r="A418" s="69"/>
      <c r="B418" s="69"/>
      <c r="C418" s="68"/>
      <c r="D418" s="68"/>
      <c r="E418" s="12" t="s">
        <v>10</v>
      </c>
      <c r="F418" s="3" t="s">
        <v>9</v>
      </c>
      <c r="G418" s="4">
        <v>0</v>
      </c>
      <c r="H418" s="4">
        <v>0</v>
      </c>
      <c r="I418" s="4">
        <v>0</v>
      </c>
      <c r="J418" s="69"/>
    </row>
    <row r="419" spans="1:10" ht="30.75" customHeight="1" x14ac:dyDescent="0.25">
      <c r="A419" s="69"/>
      <c r="B419" s="69"/>
      <c r="C419" s="68"/>
      <c r="D419" s="68"/>
      <c r="E419" s="12" t="s">
        <v>11</v>
      </c>
      <c r="F419" s="3" t="s">
        <v>9</v>
      </c>
      <c r="G419" s="4">
        <f>26116.09+80000+577260+274000</f>
        <v>957376.09</v>
      </c>
      <c r="H419" s="4">
        <v>0</v>
      </c>
      <c r="I419" s="4">
        <v>400000</v>
      </c>
      <c r="J419" s="69"/>
    </row>
    <row r="420" spans="1:10" ht="25.5" customHeight="1" x14ac:dyDescent="0.25">
      <c r="A420" s="69" t="s">
        <v>290</v>
      </c>
      <c r="B420" s="69" t="s">
        <v>291</v>
      </c>
      <c r="C420" s="68">
        <v>45292</v>
      </c>
      <c r="D420" s="68">
        <v>46387</v>
      </c>
      <c r="E420" s="65" t="s">
        <v>6</v>
      </c>
      <c r="F420" s="66" t="s">
        <v>124</v>
      </c>
      <c r="G420" s="4">
        <f>SUM(G421:G423)</f>
        <v>138985.68</v>
      </c>
      <c r="H420" s="4">
        <f t="shared" ref="H420:I420" si="113">SUM(H421:H423)</f>
        <v>0</v>
      </c>
      <c r="I420" s="4">
        <f t="shared" si="113"/>
        <v>0</v>
      </c>
      <c r="J420" s="69" t="s">
        <v>149</v>
      </c>
    </row>
    <row r="421" spans="1:10" ht="25.5" customHeight="1" x14ac:dyDescent="0.25">
      <c r="A421" s="69"/>
      <c r="B421" s="69"/>
      <c r="C421" s="68"/>
      <c r="D421" s="68"/>
      <c r="E421" s="65" t="s">
        <v>8</v>
      </c>
      <c r="F421" s="66" t="s">
        <v>9</v>
      </c>
      <c r="G421" s="4">
        <v>0</v>
      </c>
      <c r="H421" s="4">
        <v>0</v>
      </c>
      <c r="I421" s="4">
        <v>0</v>
      </c>
      <c r="J421" s="69"/>
    </row>
    <row r="422" spans="1:10" ht="25.5" customHeight="1" x14ac:dyDescent="0.25">
      <c r="A422" s="69"/>
      <c r="B422" s="69"/>
      <c r="C422" s="68"/>
      <c r="D422" s="68"/>
      <c r="E422" s="65" t="s">
        <v>10</v>
      </c>
      <c r="F422" s="66" t="s">
        <v>9</v>
      </c>
      <c r="G422" s="4">
        <v>0</v>
      </c>
      <c r="H422" s="4">
        <v>0</v>
      </c>
      <c r="I422" s="4">
        <v>0</v>
      </c>
      <c r="J422" s="69"/>
    </row>
    <row r="423" spans="1:10" ht="25.5" customHeight="1" x14ac:dyDescent="0.25">
      <c r="A423" s="69"/>
      <c r="B423" s="69"/>
      <c r="C423" s="68"/>
      <c r="D423" s="68"/>
      <c r="E423" s="65" t="s">
        <v>11</v>
      </c>
      <c r="F423" s="66" t="s">
        <v>9</v>
      </c>
      <c r="G423" s="4">
        <v>138985.68</v>
      </c>
      <c r="H423" s="4">
        <v>0</v>
      </c>
      <c r="I423" s="4">
        <v>0</v>
      </c>
      <c r="J423" s="69"/>
    </row>
    <row r="424" spans="1:10" ht="28.5" customHeight="1" x14ac:dyDescent="0.25">
      <c r="A424" s="70" t="s">
        <v>226</v>
      </c>
      <c r="B424" s="70" t="s">
        <v>225</v>
      </c>
      <c r="C424" s="68">
        <v>45292</v>
      </c>
      <c r="D424" s="68">
        <v>45292</v>
      </c>
      <c r="E424" s="33" t="s">
        <v>6</v>
      </c>
      <c r="F424" s="26" t="s">
        <v>124</v>
      </c>
      <c r="G424" s="27">
        <f>SUM(G425:G427)</f>
        <v>1716530.99</v>
      </c>
      <c r="H424" s="27">
        <f t="shared" ref="H424:I424" si="114">SUM(H425:H427)</f>
        <v>0</v>
      </c>
      <c r="I424" s="27">
        <f t="shared" si="114"/>
        <v>0</v>
      </c>
      <c r="J424" s="70" t="s">
        <v>136</v>
      </c>
    </row>
    <row r="425" spans="1:10" ht="28.5" customHeight="1" x14ac:dyDescent="0.25">
      <c r="A425" s="70"/>
      <c r="B425" s="70"/>
      <c r="C425" s="68"/>
      <c r="D425" s="68"/>
      <c r="E425" s="33" t="s">
        <v>8</v>
      </c>
      <c r="F425" s="26" t="s">
        <v>9</v>
      </c>
      <c r="G425" s="27">
        <v>0</v>
      </c>
      <c r="H425" s="27">
        <v>0</v>
      </c>
      <c r="I425" s="27">
        <v>0</v>
      </c>
      <c r="J425" s="70"/>
    </row>
    <row r="426" spans="1:10" ht="28.5" customHeight="1" x14ac:dyDescent="0.25">
      <c r="A426" s="70"/>
      <c r="B426" s="70"/>
      <c r="C426" s="68"/>
      <c r="D426" s="68"/>
      <c r="E426" s="33" t="s">
        <v>10</v>
      </c>
      <c r="F426" s="26" t="s">
        <v>9</v>
      </c>
      <c r="G426" s="27">
        <v>0</v>
      </c>
      <c r="H426" s="27">
        <v>0</v>
      </c>
      <c r="I426" s="27">
        <v>0</v>
      </c>
      <c r="J426" s="70"/>
    </row>
    <row r="427" spans="1:10" ht="28.5" customHeight="1" x14ac:dyDescent="0.25">
      <c r="A427" s="70"/>
      <c r="B427" s="70"/>
      <c r="C427" s="68"/>
      <c r="D427" s="68"/>
      <c r="E427" s="33" t="s">
        <v>11</v>
      </c>
      <c r="F427" s="26" t="s">
        <v>9</v>
      </c>
      <c r="G427" s="27">
        <v>1716530.99</v>
      </c>
      <c r="H427" s="27">
        <v>0</v>
      </c>
      <c r="I427" s="27">
        <v>0</v>
      </c>
      <c r="J427" s="70"/>
    </row>
    <row r="428" spans="1:10" ht="20.25" customHeight="1" x14ac:dyDescent="0.25">
      <c r="A428" s="69" t="s">
        <v>35</v>
      </c>
      <c r="B428" s="67" t="s">
        <v>60</v>
      </c>
      <c r="C428" s="68">
        <v>45292</v>
      </c>
      <c r="D428" s="68">
        <v>46387</v>
      </c>
      <c r="E428" s="12" t="s">
        <v>6</v>
      </c>
      <c r="F428" s="3" t="s">
        <v>62</v>
      </c>
      <c r="G428" s="4">
        <f>SUM(G429:G431)</f>
        <v>70308</v>
      </c>
      <c r="H428" s="4">
        <f t="shared" ref="H428" si="115">SUM(H429:H431)</f>
        <v>46872</v>
      </c>
      <c r="I428" s="4">
        <f t="shared" ref="I428" si="116">SUM(I429:I431)</f>
        <v>46872</v>
      </c>
      <c r="J428" s="69" t="s">
        <v>37</v>
      </c>
    </row>
    <row r="429" spans="1:10" ht="24.75" customHeight="1" x14ac:dyDescent="0.25">
      <c r="A429" s="69"/>
      <c r="B429" s="67"/>
      <c r="C429" s="68"/>
      <c r="D429" s="68"/>
      <c r="E429" s="12" t="s">
        <v>8</v>
      </c>
      <c r="F429" s="3" t="s">
        <v>9</v>
      </c>
      <c r="G429" s="4">
        <v>0</v>
      </c>
      <c r="H429" s="4">
        <v>0</v>
      </c>
      <c r="I429" s="4">
        <v>0</v>
      </c>
      <c r="J429" s="69"/>
    </row>
    <row r="430" spans="1:10" ht="24.75" customHeight="1" x14ac:dyDescent="0.25">
      <c r="A430" s="69"/>
      <c r="B430" s="67"/>
      <c r="C430" s="68"/>
      <c r="D430" s="68"/>
      <c r="E430" s="12" t="s">
        <v>10</v>
      </c>
      <c r="F430" s="3" t="s">
        <v>9</v>
      </c>
      <c r="G430" s="4">
        <v>0</v>
      </c>
      <c r="H430" s="4">
        <v>0</v>
      </c>
      <c r="I430" s="4">
        <v>0</v>
      </c>
      <c r="J430" s="69"/>
    </row>
    <row r="431" spans="1:10" ht="24.75" customHeight="1" x14ac:dyDescent="0.25">
      <c r="A431" s="69"/>
      <c r="B431" s="67"/>
      <c r="C431" s="68"/>
      <c r="D431" s="68"/>
      <c r="E431" s="12" t="s">
        <v>11</v>
      </c>
      <c r="F431" s="3" t="s">
        <v>9</v>
      </c>
      <c r="G431" s="4">
        <f>70308</f>
        <v>70308</v>
      </c>
      <c r="H431" s="4">
        <v>46872</v>
      </c>
      <c r="I431" s="4">
        <v>46872</v>
      </c>
      <c r="J431" s="69"/>
    </row>
    <row r="432" spans="1:10" ht="24.75" customHeight="1" x14ac:dyDescent="0.25">
      <c r="A432" s="69" t="s">
        <v>38</v>
      </c>
      <c r="B432" s="67" t="s">
        <v>60</v>
      </c>
      <c r="C432" s="68">
        <v>45292</v>
      </c>
      <c r="D432" s="68">
        <v>46387</v>
      </c>
      <c r="E432" s="12" t="s">
        <v>6</v>
      </c>
      <c r="F432" s="3" t="s">
        <v>123</v>
      </c>
      <c r="G432" s="4">
        <f>SUM(G433:G435)</f>
        <v>2173453.27</v>
      </c>
      <c r="H432" s="4">
        <f t="shared" ref="H432" si="117">SUM(H433:H435)</f>
        <v>1968635.9</v>
      </c>
      <c r="I432" s="4">
        <f t="shared" ref="I432" si="118">SUM(I433:I435)</f>
        <v>1986819.9</v>
      </c>
      <c r="J432" s="69" t="s">
        <v>91</v>
      </c>
    </row>
    <row r="433" spans="1:11" ht="24.75" customHeight="1" x14ac:dyDescent="0.25">
      <c r="A433" s="69"/>
      <c r="B433" s="67"/>
      <c r="C433" s="68"/>
      <c r="D433" s="68"/>
      <c r="E433" s="12" t="s">
        <v>8</v>
      </c>
      <c r="F433" s="3" t="s">
        <v>9</v>
      </c>
      <c r="G433" s="4">
        <v>0</v>
      </c>
      <c r="H433" s="4">
        <v>0</v>
      </c>
      <c r="I433" s="4">
        <v>0</v>
      </c>
      <c r="J433" s="69"/>
    </row>
    <row r="434" spans="1:11" ht="24.75" customHeight="1" x14ac:dyDescent="0.25">
      <c r="A434" s="69"/>
      <c r="B434" s="67"/>
      <c r="C434" s="68"/>
      <c r="D434" s="68"/>
      <c r="E434" s="12" t="s">
        <v>10</v>
      </c>
      <c r="F434" s="3" t="s">
        <v>9</v>
      </c>
      <c r="G434" s="4">
        <f>1951158.1+117295.17+105000</f>
        <v>2173453.27</v>
      </c>
      <c r="H434" s="4">
        <v>1968635.9</v>
      </c>
      <c r="I434" s="4">
        <v>1986819.9</v>
      </c>
      <c r="J434" s="69"/>
    </row>
    <row r="435" spans="1:11" ht="24.75" customHeight="1" x14ac:dyDescent="0.25">
      <c r="A435" s="69"/>
      <c r="B435" s="67"/>
      <c r="C435" s="68"/>
      <c r="D435" s="68"/>
      <c r="E435" s="12" t="s">
        <v>11</v>
      </c>
      <c r="F435" s="3" t="s">
        <v>9</v>
      </c>
      <c r="G435" s="4">
        <v>0</v>
      </c>
      <c r="H435" s="4">
        <v>0</v>
      </c>
      <c r="I435" s="4">
        <v>0</v>
      </c>
      <c r="J435" s="69"/>
    </row>
    <row r="436" spans="1:11" ht="15" customHeight="1" x14ac:dyDescent="0.25">
      <c r="A436" s="74" t="s">
        <v>63</v>
      </c>
      <c r="B436" s="74"/>
      <c r="C436" s="74"/>
      <c r="D436" s="74"/>
      <c r="E436" s="74"/>
      <c r="F436" s="74"/>
      <c r="G436" s="74"/>
      <c r="H436" s="74"/>
      <c r="I436" s="74"/>
      <c r="J436" s="74"/>
    </row>
    <row r="437" spans="1:11" ht="15.75" customHeight="1" x14ac:dyDescent="0.25">
      <c r="A437" s="69" t="s">
        <v>29</v>
      </c>
      <c r="B437" s="67" t="s">
        <v>64</v>
      </c>
      <c r="C437" s="68">
        <v>45292</v>
      </c>
      <c r="D437" s="68">
        <v>46387</v>
      </c>
      <c r="E437" s="12" t="s">
        <v>6</v>
      </c>
      <c r="F437" s="3" t="s">
        <v>65</v>
      </c>
      <c r="G437" s="4">
        <f>SUM(G438:G440)</f>
        <v>48046408.969999999</v>
      </c>
      <c r="H437" s="4">
        <f t="shared" ref="H437" si="119">SUM(H438:H440)</f>
        <v>42258800</v>
      </c>
      <c r="I437" s="4">
        <f t="shared" ref="I437" si="120">SUM(I438:I440)</f>
        <v>41073300</v>
      </c>
      <c r="J437" s="69" t="s">
        <v>66</v>
      </c>
    </row>
    <row r="438" spans="1:11" ht="24.75" customHeight="1" x14ac:dyDescent="0.25">
      <c r="A438" s="69"/>
      <c r="B438" s="67"/>
      <c r="C438" s="68"/>
      <c r="D438" s="68"/>
      <c r="E438" s="12" t="s">
        <v>8</v>
      </c>
      <c r="F438" s="3" t="s">
        <v>9</v>
      </c>
      <c r="G438" s="4">
        <v>0</v>
      </c>
      <c r="H438" s="4">
        <v>0</v>
      </c>
      <c r="I438" s="4">
        <v>0</v>
      </c>
      <c r="J438" s="69"/>
    </row>
    <row r="439" spans="1:11" ht="24.75" customHeight="1" x14ac:dyDescent="0.25">
      <c r="A439" s="69"/>
      <c r="B439" s="67"/>
      <c r="C439" s="68"/>
      <c r="D439" s="68"/>
      <c r="E439" s="12" t="s">
        <v>10</v>
      </c>
      <c r="F439" s="3" t="s">
        <v>9</v>
      </c>
      <c r="G439" s="4">
        <v>0</v>
      </c>
      <c r="H439" s="4">
        <v>0</v>
      </c>
      <c r="I439" s="4">
        <v>0</v>
      </c>
      <c r="J439" s="69"/>
    </row>
    <row r="440" spans="1:11" ht="24.75" customHeight="1" x14ac:dyDescent="0.25">
      <c r="A440" s="69"/>
      <c r="B440" s="67"/>
      <c r="C440" s="68"/>
      <c r="D440" s="68"/>
      <c r="E440" s="12" t="s">
        <v>11</v>
      </c>
      <c r="F440" s="3" t="s">
        <v>9</v>
      </c>
      <c r="G440" s="4">
        <f>38148200+3000000+6052300+845908.97</f>
        <v>48046408.969999999</v>
      </c>
      <c r="H440" s="4">
        <v>42258800</v>
      </c>
      <c r="I440" s="4">
        <v>41073300</v>
      </c>
      <c r="J440" s="69"/>
    </row>
    <row r="441" spans="1:11" ht="15" customHeight="1" x14ac:dyDescent="0.25">
      <c r="A441" s="74" t="s">
        <v>67</v>
      </c>
      <c r="B441" s="74"/>
      <c r="C441" s="74"/>
      <c r="D441" s="74"/>
      <c r="E441" s="74"/>
      <c r="F441" s="74"/>
      <c r="G441" s="74"/>
      <c r="H441" s="74"/>
      <c r="I441" s="74"/>
      <c r="J441" s="74"/>
      <c r="K441" s="30"/>
    </row>
    <row r="442" spans="1:11" ht="16.5" customHeight="1" x14ac:dyDescent="0.25">
      <c r="A442" s="69" t="s">
        <v>68</v>
      </c>
      <c r="B442" s="67" t="s">
        <v>64</v>
      </c>
      <c r="C442" s="68">
        <v>45292</v>
      </c>
      <c r="D442" s="68">
        <v>46387</v>
      </c>
      <c r="E442" s="12" t="s">
        <v>6</v>
      </c>
      <c r="F442" s="3" t="s">
        <v>69</v>
      </c>
      <c r="G442" s="4">
        <f>SUM(G443:G445)</f>
        <v>50000</v>
      </c>
      <c r="H442" s="4">
        <f t="shared" ref="H442" si="121">SUM(H443:H445)</f>
        <v>50000</v>
      </c>
      <c r="I442" s="4">
        <f t="shared" ref="I442" si="122">SUM(I443:I445)</f>
        <v>50000</v>
      </c>
      <c r="J442" s="69" t="s">
        <v>70</v>
      </c>
    </row>
    <row r="443" spans="1:11" ht="24.75" customHeight="1" x14ac:dyDescent="0.25">
      <c r="A443" s="69"/>
      <c r="B443" s="67"/>
      <c r="C443" s="68"/>
      <c r="D443" s="68"/>
      <c r="E443" s="12" t="s">
        <v>8</v>
      </c>
      <c r="F443" s="3" t="s">
        <v>9</v>
      </c>
      <c r="G443" s="4">
        <v>0</v>
      </c>
      <c r="H443" s="4">
        <v>0</v>
      </c>
      <c r="I443" s="4">
        <v>0</v>
      </c>
      <c r="J443" s="69"/>
    </row>
    <row r="444" spans="1:11" ht="24.75" customHeight="1" x14ac:dyDescent="0.25">
      <c r="A444" s="69"/>
      <c r="B444" s="67"/>
      <c r="C444" s="68"/>
      <c r="D444" s="68"/>
      <c r="E444" s="12" t="s">
        <v>10</v>
      </c>
      <c r="F444" s="3" t="s">
        <v>9</v>
      </c>
      <c r="G444" s="4">
        <v>0</v>
      </c>
      <c r="H444" s="4">
        <v>0</v>
      </c>
      <c r="I444" s="4">
        <v>0</v>
      </c>
      <c r="J444" s="69"/>
    </row>
    <row r="445" spans="1:11" ht="24.75" customHeight="1" x14ac:dyDescent="0.25">
      <c r="A445" s="69"/>
      <c r="B445" s="67"/>
      <c r="C445" s="68"/>
      <c r="D445" s="68"/>
      <c r="E445" s="12" t="s">
        <v>11</v>
      </c>
      <c r="F445" s="3" t="s">
        <v>9</v>
      </c>
      <c r="G445" s="4">
        <v>50000</v>
      </c>
      <c r="H445" s="4">
        <v>50000</v>
      </c>
      <c r="I445" s="4">
        <v>50000</v>
      </c>
      <c r="J445" s="69"/>
    </row>
    <row r="446" spans="1:11" ht="17.25" customHeight="1" x14ac:dyDescent="0.25">
      <c r="A446" s="69" t="s">
        <v>72</v>
      </c>
      <c r="B446" s="67" t="s">
        <v>64</v>
      </c>
      <c r="C446" s="68">
        <v>45292</v>
      </c>
      <c r="D446" s="68">
        <v>46387</v>
      </c>
      <c r="E446" s="12" t="s">
        <v>6</v>
      </c>
      <c r="F446" s="3" t="s">
        <v>71</v>
      </c>
      <c r="G446" s="4">
        <f>SUM(G447:G449)</f>
        <v>60000</v>
      </c>
      <c r="H446" s="4">
        <f t="shared" ref="H446" si="123">SUM(H447:H449)</f>
        <v>60000</v>
      </c>
      <c r="I446" s="4">
        <f t="shared" ref="I446" si="124">SUM(I447:I449)</f>
        <v>60000</v>
      </c>
      <c r="J446" s="69" t="s">
        <v>76</v>
      </c>
    </row>
    <row r="447" spans="1:11" ht="24.75" customHeight="1" x14ac:dyDescent="0.25">
      <c r="A447" s="69"/>
      <c r="B447" s="67"/>
      <c r="C447" s="68"/>
      <c r="D447" s="68"/>
      <c r="E447" s="12" t="s">
        <v>8</v>
      </c>
      <c r="F447" s="3" t="s">
        <v>9</v>
      </c>
      <c r="G447" s="4">
        <v>0</v>
      </c>
      <c r="H447" s="4">
        <v>0</v>
      </c>
      <c r="I447" s="4">
        <v>0</v>
      </c>
      <c r="J447" s="69"/>
    </row>
    <row r="448" spans="1:11" ht="24.75" customHeight="1" x14ac:dyDescent="0.25">
      <c r="A448" s="69"/>
      <c r="B448" s="67"/>
      <c r="C448" s="68"/>
      <c r="D448" s="68"/>
      <c r="E448" s="12" t="s">
        <v>10</v>
      </c>
      <c r="F448" s="3" t="s">
        <v>9</v>
      </c>
      <c r="G448" s="4">
        <v>0</v>
      </c>
      <c r="H448" s="4">
        <v>0</v>
      </c>
      <c r="I448" s="4">
        <v>0</v>
      </c>
      <c r="J448" s="69"/>
    </row>
    <row r="449" spans="1:15" ht="24.75" customHeight="1" x14ac:dyDescent="0.25">
      <c r="A449" s="69"/>
      <c r="B449" s="67"/>
      <c r="C449" s="68"/>
      <c r="D449" s="68"/>
      <c r="E449" s="12" t="s">
        <v>11</v>
      </c>
      <c r="F449" s="3" t="s">
        <v>9</v>
      </c>
      <c r="G449" s="4">
        <v>60000</v>
      </c>
      <c r="H449" s="4">
        <v>60000</v>
      </c>
      <c r="I449" s="4">
        <v>60000</v>
      </c>
      <c r="J449" s="69"/>
    </row>
    <row r="450" spans="1:15" ht="15" customHeight="1" x14ac:dyDescent="0.25">
      <c r="A450" s="74" t="s">
        <v>73</v>
      </c>
      <c r="B450" s="74"/>
      <c r="C450" s="74"/>
      <c r="D450" s="74"/>
      <c r="E450" s="74"/>
      <c r="F450" s="74"/>
      <c r="G450" s="74"/>
      <c r="H450" s="74"/>
      <c r="I450" s="74"/>
      <c r="J450" s="74"/>
    </row>
    <row r="451" spans="1:15" ht="16.5" customHeight="1" x14ac:dyDescent="0.25">
      <c r="A451" s="69" t="s">
        <v>74</v>
      </c>
      <c r="B451" s="67" t="s">
        <v>168</v>
      </c>
      <c r="C451" s="68">
        <v>45292</v>
      </c>
      <c r="D451" s="68">
        <v>46387</v>
      </c>
      <c r="E451" s="12" t="s">
        <v>6</v>
      </c>
      <c r="F451" s="3" t="s">
        <v>135</v>
      </c>
      <c r="G451" s="4">
        <f>SUM(G452:G454)</f>
        <v>2640862.9</v>
      </c>
      <c r="H451" s="4">
        <f t="shared" ref="H451" si="125">SUM(H452:H454)</f>
        <v>500000</v>
      </c>
      <c r="I451" s="4">
        <f t="shared" ref="I451" si="126">SUM(I452:I454)</f>
        <v>500000</v>
      </c>
      <c r="J451" s="69" t="s">
        <v>75</v>
      </c>
    </row>
    <row r="452" spans="1:15" ht="24.75" customHeight="1" x14ac:dyDescent="0.25">
      <c r="A452" s="69"/>
      <c r="B452" s="67"/>
      <c r="C452" s="68"/>
      <c r="D452" s="68"/>
      <c r="E452" s="12" t="s">
        <v>8</v>
      </c>
      <c r="F452" s="3" t="s">
        <v>9</v>
      </c>
      <c r="G452" s="4">
        <v>0</v>
      </c>
      <c r="H452" s="4">
        <v>0</v>
      </c>
      <c r="I452" s="4">
        <v>0</v>
      </c>
      <c r="J452" s="69"/>
    </row>
    <row r="453" spans="1:15" ht="24.75" customHeight="1" x14ac:dyDescent="0.25">
      <c r="A453" s="69"/>
      <c r="B453" s="67"/>
      <c r="C453" s="68"/>
      <c r="D453" s="68"/>
      <c r="E453" s="12" t="s">
        <v>10</v>
      </c>
      <c r="F453" s="3" t="s">
        <v>9</v>
      </c>
      <c r="G453" s="4">
        <v>0</v>
      </c>
      <c r="H453" s="4">
        <v>0</v>
      </c>
      <c r="I453" s="4">
        <v>0</v>
      </c>
      <c r="J453" s="69"/>
    </row>
    <row r="454" spans="1:15" ht="24.75" customHeight="1" x14ac:dyDescent="0.25">
      <c r="A454" s="69"/>
      <c r="B454" s="67"/>
      <c r="C454" s="68"/>
      <c r="D454" s="68"/>
      <c r="E454" s="12" t="s">
        <v>11</v>
      </c>
      <c r="F454" s="3" t="s">
        <v>9</v>
      </c>
      <c r="G454" s="4">
        <f>500000+1000000-175510.08-183627.02+1500000</f>
        <v>2640862.9</v>
      </c>
      <c r="H454" s="4">
        <v>500000</v>
      </c>
      <c r="I454" s="4">
        <v>500000</v>
      </c>
      <c r="J454" s="69"/>
      <c r="O454" s="2"/>
    </row>
    <row r="455" spans="1:15" ht="27" customHeight="1" x14ac:dyDescent="0.25">
      <c r="A455" s="74" t="s">
        <v>77</v>
      </c>
      <c r="B455" s="74"/>
      <c r="C455" s="74"/>
      <c r="D455" s="74"/>
      <c r="E455" s="74"/>
      <c r="F455" s="74"/>
      <c r="G455" s="74"/>
      <c r="H455" s="74"/>
      <c r="I455" s="74"/>
      <c r="J455" s="74"/>
    </row>
    <row r="456" spans="1:15" ht="16.5" customHeight="1" x14ac:dyDescent="0.25">
      <c r="A456" s="69" t="s">
        <v>78</v>
      </c>
      <c r="B456" s="67" t="s">
        <v>25</v>
      </c>
      <c r="C456" s="68">
        <v>45292</v>
      </c>
      <c r="D456" s="68">
        <v>46387</v>
      </c>
      <c r="E456" s="12" t="s">
        <v>6</v>
      </c>
      <c r="F456" s="3" t="s">
        <v>79</v>
      </c>
      <c r="G456" s="4">
        <f>SUM(G457:G459)</f>
        <v>80000</v>
      </c>
      <c r="H456" s="4">
        <f t="shared" ref="H456" si="127">SUM(H457:H459)</f>
        <v>80000</v>
      </c>
      <c r="I456" s="4">
        <f t="shared" ref="I456" si="128">SUM(I457:I459)</f>
        <v>80000</v>
      </c>
      <c r="J456" s="69" t="s">
        <v>80</v>
      </c>
    </row>
    <row r="457" spans="1:15" ht="24.75" customHeight="1" x14ac:dyDescent="0.25">
      <c r="A457" s="69"/>
      <c r="B457" s="67"/>
      <c r="C457" s="68"/>
      <c r="D457" s="68"/>
      <c r="E457" s="12" t="s">
        <v>8</v>
      </c>
      <c r="F457" s="3" t="s">
        <v>9</v>
      </c>
      <c r="G457" s="4">
        <v>0</v>
      </c>
      <c r="H457" s="4">
        <v>0</v>
      </c>
      <c r="I457" s="4">
        <v>0</v>
      </c>
      <c r="J457" s="69"/>
    </row>
    <row r="458" spans="1:15" ht="24.75" customHeight="1" x14ac:dyDescent="0.25">
      <c r="A458" s="69"/>
      <c r="B458" s="67"/>
      <c r="C458" s="68"/>
      <c r="D458" s="68"/>
      <c r="E458" s="12" t="s">
        <v>10</v>
      </c>
      <c r="F458" s="3" t="s">
        <v>9</v>
      </c>
      <c r="G458" s="4">
        <v>0</v>
      </c>
      <c r="H458" s="4">
        <v>0</v>
      </c>
      <c r="I458" s="4">
        <v>0</v>
      </c>
      <c r="J458" s="69"/>
    </row>
    <row r="459" spans="1:15" ht="24.75" customHeight="1" x14ac:dyDescent="0.25">
      <c r="A459" s="69"/>
      <c r="B459" s="67"/>
      <c r="C459" s="68"/>
      <c r="D459" s="68"/>
      <c r="E459" s="12" t="s">
        <v>11</v>
      </c>
      <c r="F459" s="3" t="s">
        <v>9</v>
      </c>
      <c r="G459" s="4">
        <v>80000</v>
      </c>
      <c r="H459" s="4">
        <v>80000</v>
      </c>
      <c r="I459" s="4">
        <v>80000</v>
      </c>
      <c r="J459" s="69"/>
      <c r="K459" s="32"/>
      <c r="L459" s="31"/>
      <c r="M459" s="31"/>
    </row>
    <row r="460" spans="1:15" ht="39" customHeight="1" x14ac:dyDescent="0.25">
      <c r="A460" s="69" t="s">
        <v>81</v>
      </c>
      <c r="B460" s="67" t="s">
        <v>25</v>
      </c>
      <c r="C460" s="68">
        <v>45292</v>
      </c>
      <c r="D460" s="68">
        <v>46387</v>
      </c>
      <c r="E460" s="12" t="s">
        <v>6</v>
      </c>
      <c r="F460" s="3" t="s">
        <v>82</v>
      </c>
      <c r="G460" s="4">
        <f>SUM(G461:G463)</f>
        <v>50000</v>
      </c>
      <c r="H460" s="4">
        <f t="shared" ref="H460" si="129">SUM(H461:H463)</f>
        <v>50000</v>
      </c>
      <c r="I460" s="4">
        <f t="shared" ref="I460" si="130">SUM(I461:I463)</f>
        <v>50000</v>
      </c>
      <c r="J460" s="69" t="s">
        <v>83</v>
      </c>
    </row>
    <row r="461" spans="1:15" ht="39" customHeight="1" x14ac:dyDescent="0.25">
      <c r="A461" s="69"/>
      <c r="B461" s="67"/>
      <c r="C461" s="68"/>
      <c r="D461" s="68"/>
      <c r="E461" s="12" t="s">
        <v>8</v>
      </c>
      <c r="F461" s="3" t="s">
        <v>9</v>
      </c>
      <c r="G461" s="4">
        <v>0</v>
      </c>
      <c r="H461" s="4">
        <v>0</v>
      </c>
      <c r="I461" s="4">
        <v>0</v>
      </c>
      <c r="J461" s="69"/>
    </row>
    <row r="462" spans="1:15" ht="39" customHeight="1" x14ac:dyDescent="0.25">
      <c r="A462" s="69"/>
      <c r="B462" s="67"/>
      <c r="C462" s="68"/>
      <c r="D462" s="68"/>
      <c r="E462" s="12" t="s">
        <v>10</v>
      </c>
      <c r="F462" s="3" t="s">
        <v>9</v>
      </c>
      <c r="G462" s="4">
        <v>0</v>
      </c>
      <c r="H462" s="4">
        <v>0</v>
      </c>
      <c r="I462" s="4">
        <v>0</v>
      </c>
      <c r="J462" s="69"/>
    </row>
    <row r="463" spans="1:15" ht="39" customHeight="1" x14ac:dyDescent="0.25">
      <c r="A463" s="69"/>
      <c r="B463" s="67"/>
      <c r="C463" s="68"/>
      <c r="D463" s="68"/>
      <c r="E463" s="12" t="s">
        <v>11</v>
      </c>
      <c r="F463" s="3" t="s">
        <v>9</v>
      </c>
      <c r="G463" s="4">
        <v>50000</v>
      </c>
      <c r="H463" s="4">
        <v>50000</v>
      </c>
      <c r="I463" s="4">
        <v>50000</v>
      </c>
      <c r="J463" s="69"/>
      <c r="K463" s="30"/>
    </row>
    <row r="464" spans="1:15" ht="21.75" customHeight="1" x14ac:dyDescent="0.25">
      <c r="A464" s="69" t="s">
        <v>84</v>
      </c>
      <c r="B464" s="67" t="s">
        <v>25</v>
      </c>
      <c r="C464" s="68">
        <v>45292</v>
      </c>
      <c r="D464" s="68">
        <v>46387</v>
      </c>
      <c r="E464" s="12" t="s">
        <v>6</v>
      </c>
      <c r="F464" s="3" t="s">
        <v>85</v>
      </c>
      <c r="G464" s="4">
        <f>SUM(G465:G467)</f>
        <v>60000</v>
      </c>
      <c r="H464" s="4">
        <f t="shared" ref="H464" si="131">SUM(H465:H467)</f>
        <v>60000</v>
      </c>
      <c r="I464" s="4">
        <f t="shared" ref="I464" si="132">SUM(I465:I467)</f>
        <v>60000</v>
      </c>
      <c r="J464" s="69" t="s">
        <v>86</v>
      </c>
    </row>
    <row r="465" spans="1:14" ht="29.25" customHeight="1" x14ac:dyDescent="0.25">
      <c r="A465" s="69"/>
      <c r="B465" s="67"/>
      <c r="C465" s="68"/>
      <c r="D465" s="68"/>
      <c r="E465" s="12" t="s">
        <v>8</v>
      </c>
      <c r="F465" s="3" t="s">
        <v>9</v>
      </c>
      <c r="G465" s="4">
        <v>0</v>
      </c>
      <c r="H465" s="4">
        <v>0</v>
      </c>
      <c r="I465" s="4">
        <v>0</v>
      </c>
      <c r="J465" s="69"/>
    </row>
    <row r="466" spans="1:14" ht="29.25" customHeight="1" x14ac:dyDescent="0.25">
      <c r="A466" s="69"/>
      <c r="B466" s="67"/>
      <c r="C466" s="68"/>
      <c r="D466" s="68"/>
      <c r="E466" s="12" t="s">
        <v>10</v>
      </c>
      <c r="F466" s="3" t="s">
        <v>9</v>
      </c>
      <c r="G466" s="4">
        <v>0</v>
      </c>
      <c r="H466" s="4">
        <v>0</v>
      </c>
      <c r="I466" s="4">
        <v>0</v>
      </c>
      <c r="J466" s="69"/>
    </row>
    <row r="467" spans="1:14" ht="23.25" customHeight="1" x14ac:dyDescent="0.25">
      <c r="A467" s="69"/>
      <c r="B467" s="67"/>
      <c r="C467" s="68"/>
      <c r="D467" s="68"/>
      <c r="E467" s="12" t="s">
        <v>11</v>
      </c>
      <c r="F467" s="3" t="s">
        <v>9</v>
      </c>
      <c r="G467" s="4">
        <v>60000</v>
      </c>
      <c r="H467" s="4">
        <v>60000</v>
      </c>
      <c r="I467" s="4">
        <v>60000</v>
      </c>
      <c r="J467" s="69"/>
    </row>
    <row r="468" spans="1:14" ht="23.25" customHeight="1" x14ac:dyDescent="0.25">
      <c r="A468" s="74" t="s">
        <v>281</v>
      </c>
      <c r="B468" s="74"/>
      <c r="C468" s="74"/>
      <c r="D468" s="74"/>
      <c r="E468" s="74"/>
      <c r="F468" s="74"/>
      <c r="G468" s="74"/>
      <c r="H468" s="74"/>
      <c r="I468" s="74"/>
      <c r="J468" s="74"/>
    </row>
    <row r="469" spans="1:14" ht="23.25" customHeight="1" x14ac:dyDescent="0.25">
      <c r="A469" s="69" t="s">
        <v>282</v>
      </c>
      <c r="B469" s="67" t="s">
        <v>25</v>
      </c>
      <c r="C469" s="68">
        <v>45292</v>
      </c>
      <c r="D469" s="68">
        <v>45657</v>
      </c>
      <c r="E469" s="55" t="s">
        <v>6</v>
      </c>
      <c r="F469" s="57" t="s">
        <v>283</v>
      </c>
      <c r="G469" s="4">
        <f>SUM(G470:G472)</f>
        <v>67650</v>
      </c>
      <c r="H469" s="4">
        <f t="shared" ref="H469:I469" si="133">SUM(H470:H472)</f>
        <v>0</v>
      </c>
      <c r="I469" s="4">
        <f t="shared" si="133"/>
        <v>0</v>
      </c>
      <c r="J469" s="69" t="s">
        <v>80</v>
      </c>
    </row>
    <row r="470" spans="1:14" ht="23.25" customHeight="1" x14ac:dyDescent="0.25">
      <c r="A470" s="69"/>
      <c r="B470" s="67"/>
      <c r="C470" s="68"/>
      <c r="D470" s="68"/>
      <c r="E470" s="55" t="s">
        <v>8</v>
      </c>
      <c r="F470" s="57" t="s">
        <v>9</v>
      </c>
      <c r="G470" s="4">
        <v>0</v>
      </c>
      <c r="H470" s="4">
        <v>0</v>
      </c>
      <c r="I470" s="4">
        <v>0</v>
      </c>
      <c r="J470" s="69"/>
    </row>
    <row r="471" spans="1:14" ht="23.25" customHeight="1" x14ac:dyDescent="0.25">
      <c r="A471" s="69"/>
      <c r="B471" s="67"/>
      <c r="C471" s="68"/>
      <c r="D471" s="68"/>
      <c r="E471" s="55" t="s">
        <v>10</v>
      </c>
      <c r="F471" s="57" t="s">
        <v>9</v>
      </c>
      <c r="G471" s="4">
        <v>0</v>
      </c>
      <c r="H471" s="4">
        <v>0</v>
      </c>
      <c r="I471" s="4">
        <v>0</v>
      </c>
      <c r="J471" s="69"/>
    </row>
    <row r="472" spans="1:14" ht="23.25" customHeight="1" x14ac:dyDescent="0.25">
      <c r="A472" s="69"/>
      <c r="B472" s="67"/>
      <c r="C472" s="68"/>
      <c r="D472" s="68"/>
      <c r="E472" s="55" t="s">
        <v>11</v>
      </c>
      <c r="F472" s="57" t="s">
        <v>9</v>
      </c>
      <c r="G472" s="4">
        <v>67650</v>
      </c>
      <c r="H472" s="4">
        <v>0</v>
      </c>
      <c r="I472" s="4">
        <v>0</v>
      </c>
      <c r="J472" s="69"/>
    </row>
    <row r="473" spans="1:14" ht="14.25" customHeight="1" x14ac:dyDescent="0.25">
      <c r="A473" s="80" t="s">
        <v>87</v>
      </c>
      <c r="B473" s="74" t="s">
        <v>9</v>
      </c>
      <c r="C473" s="81" t="s">
        <v>9</v>
      </c>
      <c r="D473" s="81" t="s">
        <v>9</v>
      </c>
      <c r="E473" s="14" t="s">
        <v>6</v>
      </c>
      <c r="F473" s="15" t="s">
        <v>9</v>
      </c>
      <c r="G473" s="21">
        <f>G474+G475+G476+G478</f>
        <v>1699667632.7600002</v>
      </c>
      <c r="H473" s="21">
        <f t="shared" ref="H473:I473" si="134">H474+H475+H476+H478</f>
        <v>1435371970.2899997</v>
      </c>
      <c r="I473" s="21">
        <f t="shared" si="134"/>
        <v>1490229018.3000002</v>
      </c>
      <c r="J473" s="74" t="s">
        <v>9</v>
      </c>
    </row>
    <row r="474" spans="1:14" ht="24" customHeight="1" x14ac:dyDescent="0.25">
      <c r="A474" s="80"/>
      <c r="B474" s="74"/>
      <c r="C474" s="81"/>
      <c r="D474" s="81"/>
      <c r="E474" s="14" t="s">
        <v>8</v>
      </c>
      <c r="F474" s="15" t="s">
        <v>9</v>
      </c>
      <c r="G474" s="21">
        <f t="shared" ref="G474:I475" si="135">G23+G28+G34+G39+G44+G49+G54+G58+G66+G122+G162+G182+G186+G191+G195+G199+G203+G207+G211+G215+G219+G223+G231+G235+G243+G247+G251+G255+G271+G275+G279+G283+G287+G291+G327+G331+G335+G351+G355+G359+G363+G367+G371+G379+G388+G392+G400+G409+G417+G429+G433+G438+G443+G447+G452+G457+G461+G465+G146+G263+G259+G78+G62+G166+G158+G154+G150+G70+G74+G86+G90+G94+G98+G106+G110+G114+G170+G174+G178+G227+G239+G267+G339+G343+G347+G425+G383+G142+G118+G323+G319+G315+G311+G307+G303+G299+G295+G138+G470+G413+G134+G130+G126+G102+G82+G375</f>
        <v>78248601.909999996</v>
      </c>
      <c r="H474" s="21">
        <f t="shared" si="135"/>
        <v>50012654.840000004</v>
      </c>
      <c r="I474" s="21">
        <f t="shared" si="135"/>
        <v>48417547.920000002</v>
      </c>
      <c r="J474" s="74"/>
      <c r="K474" s="22"/>
      <c r="L474" s="22"/>
      <c r="M474" s="22"/>
      <c r="N474" s="22"/>
    </row>
    <row r="475" spans="1:14" ht="24" customHeight="1" x14ac:dyDescent="0.25">
      <c r="A475" s="80"/>
      <c r="B475" s="74"/>
      <c r="C475" s="81"/>
      <c r="D475" s="81"/>
      <c r="E475" s="46" t="s">
        <v>10</v>
      </c>
      <c r="F475" s="47" t="s">
        <v>9</v>
      </c>
      <c r="G475" s="21">
        <f t="shared" si="135"/>
        <v>1143462746.5300002</v>
      </c>
      <c r="H475" s="21">
        <f t="shared" si="135"/>
        <v>1013171883.2899997</v>
      </c>
      <c r="I475" s="21">
        <f t="shared" si="135"/>
        <v>1058490792.2300001</v>
      </c>
      <c r="J475" s="74"/>
      <c r="K475" s="22"/>
      <c r="L475" s="22"/>
      <c r="M475" s="22"/>
      <c r="N475" s="22"/>
    </row>
    <row r="476" spans="1:14" ht="24" customHeight="1" x14ac:dyDescent="0.25">
      <c r="A476" s="80"/>
      <c r="B476" s="74"/>
      <c r="C476" s="81"/>
      <c r="D476" s="82"/>
      <c r="E476" s="46" t="s">
        <v>240</v>
      </c>
      <c r="F476" s="83" t="s">
        <v>9</v>
      </c>
      <c r="G476" s="48">
        <f>G25+G30+G36+G41+G46+G51+G56+G60+G68+G124+G164+G184+G188+G193+G197+G201+G205+G209+G213+G217+G221+G225+G233+G237+G245+G249+G253+G257+G273+G277+G281+G285+G289+G293+G329+G333+G337+G353+G357+G361+G365+G369+G373+G381+G390+G394+G402+G411+G419+G431+G435+G440+G445+G449+G454+G459+G463+G467+G148+G265+G261+G80+G64+G168+G160+G156+G152+G72+G76+G88+G92+G96+G100+G108+G112+G116+G172+G176+G180+G229+G241+G269+G341+G345+G349+G427+G385+G144+G120+G325+G321+G317+G313+G309+G305+G301+G297+G140+G472+G415+G136+G132+G128+G104+G84+G377+G406+G398+G423</f>
        <v>477679503.78000009</v>
      </c>
      <c r="H476" s="48">
        <f t="shared" ref="H476:I476" si="136">H25+H30+H36+H41+H46+H51+H56+H60+H68+H124+H164+H184+H188+H193+H197+H201+H205+H209+H213+H217+H221+H225+H233+H237+H245+H249+H253+H257+H273+H277+H281+H285+H289+H293+H329+H333+H337+H353+H357+H361+H365+H369+H373+H381+H390+H394+H402+H411+H419+H431+H435+H440+H445+H449+H454+H459+H463+H467+H148+H265+H261+H80+H64+H168+H160+H156+H152+H72+H76+H88+H92+H96+H100+H108+H112+H116+H172+H176+H180+H229+H241+H269+H341+H345+H349+H427+H385+H144+H120+H325+H321+H317+H313+H309+H305+H301+H297+H140+H472+H415+H136+H132+H128+H104+H84+H377+H406+H398+H423</f>
        <v>372187432.15999997</v>
      </c>
      <c r="I476" s="48">
        <f t="shared" si="136"/>
        <v>383320678.14999998</v>
      </c>
      <c r="J476" s="79"/>
      <c r="K476" s="22"/>
      <c r="L476" s="22"/>
      <c r="M476" s="22"/>
      <c r="N476" s="22"/>
    </row>
    <row r="477" spans="1:14" ht="48" customHeight="1" x14ac:dyDescent="0.25">
      <c r="A477" s="80"/>
      <c r="B477" s="74"/>
      <c r="C477" s="81"/>
      <c r="D477" s="82"/>
      <c r="E477" s="49" t="s">
        <v>239</v>
      </c>
      <c r="F477" s="84"/>
      <c r="G477" s="50">
        <f>G52</f>
        <v>4356716.9400000004</v>
      </c>
      <c r="H477" s="50">
        <v>0</v>
      </c>
      <c r="I477" s="50">
        <v>0</v>
      </c>
      <c r="J477" s="79"/>
      <c r="K477" s="22"/>
      <c r="L477" s="22"/>
      <c r="M477" s="22"/>
      <c r="N477" s="22"/>
    </row>
    <row r="478" spans="1:14" ht="42.75" customHeight="1" x14ac:dyDescent="0.25">
      <c r="A478" s="80"/>
      <c r="B478" s="74"/>
      <c r="C478" s="81"/>
      <c r="D478" s="81"/>
      <c r="E478" s="14" t="s">
        <v>139</v>
      </c>
      <c r="F478" s="15" t="s">
        <v>9</v>
      </c>
      <c r="G478" s="21">
        <f>G26+G31+G407</f>
        <v>276780.53999999998</v>
      </c>
      <c r="H478" s="21">
        <f>H26+H31</f>
        <v>0</v>
      </c>
      <c r="I478" s="21">
        <f>I26+I31</f>
        <v>0</v>
      </c>
      <c r="J478" s="74"/>
      <c r="K478" s="31"/>
      <c r="L478" s="31"/>
      <c r="M478" s="31"/>
      <c r="N478" s="31"/>
    </row>
    <row r="479" spans="1:14" s="1" customFormat="1" ht="14.2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31"/>
      <c r="L479" s="31"/>
      <c r="M479" s="31"/>
      <c r="N479" s="31"/>
    </row>
    <row r="480" spans="1:14" s="1" customFormat="1" ht="20.25" customHeight="1" x14ac:dyDescent="0.25">
      <c r="A480" s="17" t="s">
        <v>259</v>
      </c>
      <c r="B480" s="17"/>
      <c r="C480" s="17"/>
      <c r="D480" s="17"/>
      <c r="E480" s="17"/>
      <c r="F480" s="17"/>
      <c r="G480" s="36"/>
      <c r="H480" s="17"/>
      <c r="I480" s="17"/>
      <c r="J480" s="17"/>
      <c r="K480" s="31"/>
      <c r="L480" s="31"/>
      <c r="M480" s="31"/>
      <c r="N480" s="31"/>
    </row>
    <row r="481" spans="1:14" s="1" customFormat="1" ht="12.75" customHeight="1" x14ac:dyDescent="0.25">
      <c r="A481" s="17" t="s">
        <v>100</v>
      </c>
      <c r="B481" s="17"/>
      <c r="C481" s="17"/>
      <c r="D481" s="17"/>
      <c r="E481" s="17"/>
      <c r="F481" s="17"/>
      <c r="G481" s="36"/>
      <c r="H481" s="17"/>
      <c r="I481" s="17"/>
      <c r="J481" s="17" t="s">
        <v>260</v>
      </c>
      <c r="K481" s="31"/>
      <c r="L481" s="31"/>
      <c r="M481" s="31"/>
      <c r="N481" s="31"/>
    </row>
    <row r="482" spans="1:14" s="1" customFormat="1" ht="30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31"/>
      <c r="L482" s="31"/>
      <c r="M482" s="31"/>
      <c r="N482" s="31"/>
    </row>
    <row r="483" spans="1:14" x14ac:dyDescent="0.25">
      <c r="F483" s="18"/>
      <c r="G483" s="18"/>
      <c r="H483" s="18"/>
      <c r="I483" s="18"/>
      <c r="L483" s="22"/>
      <c r="M483" s="22"/>
      <c r="N483" s="22"/>
    </row>
    <row r="484" spans="1:14" x14ac:dyDescent="0.25">
      <c r="F484" s="18"/>
      <c r="G484" s="18"/>
      <c r="H484" s="18"/>
      <c r="I484" s="18"/>
      <c r="L484" s="22"/>
      <c r="M484" s="22"/>
      <c r="N484" s="22"/>
    </row>
    <row r="485" spans="1:14" x14ac:dyDescent="0.25">
      <c r="F485" s="18"/>
      <c r="G485" s="18"/>
      <c r="H485" s="18"/>
      <c r="I485" s="18"/>
      <c r="L485" s="22"/>
      <c r="M485" s="22"/>
      <c r="N485" s="22"/>
    </row>
    <row r="486" spans="1:14" x14ac:dyDescent="0.25">
      <c r="F486" s="18"/>
      <c r="G486" s="18"/>
      <c r="H486" s="18"/>
      <c r="I486" s="18"/>
      <c r="L486" s="22"/>
      <c r="M486" s="22"/>
      <c r="N486" s="22"/>
    </row>
    <row r="487" spans="1:14" x14ac:dyDescent="0.25">
      <c r="L487" s="22"/>
      <c r="M487" s="22"/>
      <c r="N487" s="22"/>
    </row>
    <row r="488" spans="1:14" x14ac:dyDescent="0.25">
      <c r="H488" s="18"/>
    </row>
    <row r="489" spans="1:14" x14ac:dyDescent="0.25">
      <c r="H489" s="18"/>
    </row>
    <row r="490" spans="1:14" x14ac:dyDescent="0.25">
      <c r="H490" s="18"/>
    </row>
    <row r="491" spans="1:14" x14ac:dyDescent="0.25">
      <c r="H491" s="18"/>
    </row>
    <row r="492" spans="1:14" x14ac:dyDescent="0.25">
      <c r="H492" s="18"/>
    </row>
    <row r="493" spans="1:14" x14ac:dyDescent="0.25">
      <c r="H493" s="18"/>
    </row>
    <row r="494" spans="1:14" x14ac:dyDescent="0.25">
      <c r="H494" s="18"/>
    </row>
    <row r="495" spans="1:14" x14ac:dyDescent="0.25">
      <c r="H495" s="18"/>
    </row>
  </sheetData>
  <mergeCells count="573">
    <mergeCell ref="A420:A423"/>
    <mergeCell ref="B420:B423"/>
    <mergeCell ref="C420:C423"/>
    <mergeCell ref="D420:D423"/>
    <mergeCell ref="J420:J423"/>
    <mergeCell ref="A137:A140"/>
    <mergeCell ref="B137:B140"/>
    <mergeCell ref="C137:C140"/>
    <mergeCell ref="D137:D140"/>
    <mergeCell ref="J137:J140"/>
    <mergeCell ref="B399:B402"/>
    <mergeCell ref="C399:C402"/>
    <mergeCell ref="D399:D402"/>
    <mergeCell ref="J399:J402"/>
    <mergeCell ref="B338:B341"/>
    <mergeCell ref="A374:A377"/>
    <mergeCell ref="B374:B377"/>
    <mergeCell ref="C374:C377"/>
    <mergeCell ref="D374:D377"/>
    <mergeCell ref="J374:J377"/>
    <mergeCell ref="D366:D369"/>
    <mergeCell ref="J366:J369"/>
    <mergeCell ref="B354:B357"/>
    <mergeCell ref="C354:C357"/>
    <mergeCell ref="D354:D357"/>
    <mergeCell ref="A342:A345"/>
    <mergeCell ref="B342:B345"/>
    <mergeCell ref="C342:C345"/>
    <mergeCell ref="D342:D345"/>
    <mergeCell ref="A129:A132"/>
    <mergeCell ref="B129:B132"/>
    <mergeCell ref="C129:C132"/>
    <mergeCell ref="D129:D132"/>
    <mergeCell ref="A350:A353"/>
    <mergeCell ref="B350:B353"/>
    <mergeCell ref="C338:C341"/>
    <mergeCell ref="D338:D341"/>
    <mergeCell ref="A238:A241"/>
    <mergeCell ref="B238:B241"/>
    <mergeCell ref="C238:C241"/>
    <mergeCell ref="D238:D241"/>
    <mergeCell ref="A173:A176"/>
    <mergeCell ref="B173:B176"/>
    <mergeCell ref="C173:C176"/>
    <mergeCell ref="D173:D176"/>
    <mergeCell ref="B226:B229"/>
    <mergeCell ref="C226:C229"/>
    <mergeCell ref="D226:D229"/>
    <mergeCell ref="J129:J132"/>
    <mergeCell ref="A133:A136"/>
    <mergeCell ref="B133:B136"/>
    <mergeCell ref="C133:C136"/>
    <mergeCell ref="D133:D136"/>
    <mergeCell ref="J133:J136"/>
    <mergeCell ref="C81:C84"/>
    <mergeCell ref="D81:D84"/>
    <mergeCell ref="J81:J84"/>
    <mergeCell ref="A101:A104"/>
    <mergeCell ref="B101:B104"/>
    <mergeCell ref="C101:C104"/>
    <mergeCell ref="D101:D104"/>
    <mergeCell ref="J101:J104"/>
    <mergeCell ref="D125:D128"/>
    <mergeCell ref="J125:J128"/>
    <mergeCell ref="J121:J124"/>
    <mergeCell ref="A113:A116"/>
    <mergeCell ref="B113:B116"/>
    <mergeCell ref="C113:C116"/>
    <mergeCell ref="D113:D116"/>
    <mergeCell ref="J113:J116"/>
    <mergeCell ref="A117:A120"/>
    <mergeCell ref="B117:B120"/>
    <mergeCell ref="D117:D120"/>
    <mergeCell ref="J117:J120"/>
    <mergeCell ref="D121:D124"/>
    <mergeCell ref="J105:J108"/>
    <mergeCell ref="A109:A112"/>
    <mergeCell ref="A48:A52"/>
    <mergeCell ref="B48:B52"/>
    <mergeCell ref="C48:C52"/>
    <mergeCell ref="D48:D52"/>
    <mergeCell ref="J48:J52"/>
    <mergeCell ref="F51:F52"/>
    <mergeCell ref="A85:A88"/>
    <mergeCell ref="B85:B88"/>
    <mergeCell ref="C85:C88"/>
    <mergeCell ref="D85:D88"/>
    <mergeCell ref="J85:J88"/>
    <mergeCell ref="D53:D56"/>
    <mergeCell ref="J53:J56"/>
    <mergeCell ref="A53:A56"/>
    <mergeCell ref="A57:A60"/>
    <mergeCell ref="B57:B60"/>
    <mergeCell ref="C57:C60"/>
    <mergeCell ref="D57:D60"/>
    <mergeCell ref="J57:J60"/>
    <mergeCell ref="J65:J68"/>
    <mergeCell ref="B53:B56"/>
    <mergeCell ref="C53:C56"/>
    <mergeCell ref="A61:A64"/>
    <mergeCell ref="B61:B64"/>
    <mergeCell ref="A89:A92"/>
    <mergeCell ref="B89:B92"/>
    <mergeCell ref="C89:C92"/>
    <mergeCell ref="D89:D92"/>
    <mergeCell ref="J89:J92"/>
    <mergeCell ref="B65:B68"/>
    <mergeCell ref="C65:C68"/>
    <mergeCell ref="D65:D68"/>
    <mergeCell ref="A81:A84"/>
    <mergeCell ref="B81:B84"/>
    <mergeCell ref="B424:B427"/>
    <mergeCell ref="C424:C427"/>
    <mergeCell ref="D424:D427"/>
    <mergeCell ref="J424:J427"/>
    <mergeCell ref="A391:A394"/>
    <mergeCell ref="B391:B394"/>
    <mergeCell ref="C391:C394"/>
    <mergeCell ref="D391:D394"/>
    <mergeCell ref="J391:J394"/>
    <mergeCell ref="A412:A415"/>
    <mergeCell ref="B412:B415"/>
    <mergeCell ref="C412:C415"/>
    <mergeCell ref="D412:D415"/>
    <mergeCell ref="J412:J415"/>
    <mergeCell ref="J416:J419"/>
    <mergeCell ref="A399:A402"/>
    <mergeCell ref="A346:A349"/>
    <mergeCell ref="B346:B349"/>
    <mergeCell ref="C346:C349"/>
    <mergeCell ref="D346:D349"/>
    <mergeCell ref="J346:J349"/>
    <mergeCell ref="C117:C120"/>
    <mergeCell ref="J338:J341"/>
    <mergeCell ref="J342:J345"/>
    <mergeCell ref="A338:A341"/>
    <mergeCell ref="C290:C293"/>
    <mergeCell ref="J334:J337"/>
    <mergeCell ref="D326:D329"/>
    <mergeCell ref="D334:D337"/>
    <mergeCell ref="A294:A297"/>
    <mergeCell ref="B294:B297"/>
    <mergeCell ref="C294:C297"/>
    <mergeCell ref="D294:D297"/>
    <mergeCell ref="J294:J297"/>
    <mergeCell ref="D302:D305"/>
    <mergeCell ref="J302:J305"/>
    <mergeCell ref="A306:A309"/>
    <mergeCell ref="B306:B309"/>
    <mergeCell ref="C306:C309"/>
    <mergeCell ref="B330:B333"/>
    <mergeCell ref="C330:C333"/>
    <mergeCell ref="D330:D333"/>
    <mergeCell ref="J330:J333"/>
    <mergeCell ref="A302:A305"/>
    <mergeCell ref="B326:B329"/>
    <mergeCell ref="C326:C329"/>
    <mergeCell ref="J238:J241"/>
    <mergeCell ref="D230:D233"/>
    <mergeCell ref="B230:B233"/>
    <mergeCell ref="C230:C233"/>
    <mergeCell ref="A234:A237"/>
    <mergeCell ref="B234:B237"/>
    <mergeCell ref="C234:C237"/>
    <mergeCell ref="D234:D237"/>
    <mergeCell ref="J234:J237"/>
    <mergeCell ref="J230:J233"/>
    <mergeCell ref="A230:A233"/>
    <mergeCell ref="J246:J249"/>
    <mergeCell ref="A254:A257"/>
    <mergeCell ref="B254:B257"/>
    <mergeCell ref="C254:C257"/>
    <mergeCell ref="D254:D257"/>
    <mergeCell ref="J254:J257"/>
    <mergeCell ref="A250:A253"/>
    <mergeCell ref="B250:B253"/>
    <mergeCell ref="C250:C253"/>
    <mergeCell ref="J250:J253"/>
    <mergeCell ref="D250:D253"/>
    <mergeCell ref="J226:J229"/>
    <mergeCell ref="A189:J189"/>
    <mergeCell ref="A202:A205"/>
    <mergeCell ref="B218:B221"/>
    <mergeCell ref="C218:C221"/>
    <mergeCell ref="D218:D221"/>
    <mergeCell ref="B177:B180"/>
    <mergeCell ref="C177:C180"/>
    <mergeCell ref="D177:D180"/>
    <mergeCell ref="D210:D213"/>
    <mergeCell ref="J210:J213"/>
    <mergeCell ref="A218:A221"/>
    <mergeCell ref="A226:A229"/>
    <mergeCell ref="J194:J197"/>
    <mergeCell ref="B202:B205"/>
    <mergeCell ref="C202:C205"/>
    <mergeCell ref="J218:J221"/>
    <mergeCell ref="A206:A209"/>
    <mergeCell ref="B206:B209"/>
    <mergeCell ref="C206:C209"/>
    <mergeCell ref="D206:D209"/>
    <mergeCell ref="J206:J209"/>
    <mergeCell ref="A210:A213"/>
    <mergeCell ref="B210:B213"/>
    <mergeCell ref="J173:J176"/>
    <mergeCell ref="A177:A180"/>
    <mergeCell ref="D202:D205"/>
    <mergeCell ref="J202:J205"/>
    <mergeCell ref="J222:J225"/>
    <mergeCell ref="A125:A128"/>
    <mergeCell ref="B125:B128"/>
    <mergeCell ref="C125:C128"/>
    <mergeCell ref="D149:D152"/>
    <mergeCell ref="A149:A152"/>
    <mergeCell ref="A145:A148"/>
    <mergeCell ref="B145:B148"/>
    <mergeCell ref="C145:C148"/>
    <mergeCell ref="D145:D148"/>
    <mergeCell ref="J145:J148"/>
    <mergeCell ref="A169:A172"/>
    <mergeCell ref="B169:B172"/>
    <mergeCell ref="C169:C172"/>
    <mergeCell ref="D169:D172"/>
    <mergeCell ref="J169:J172"/>
    <mergeCell ref="A157:A160"/>
    <mergeCell ref="D214:D217"/>
    <mergeCell ref="B149:B152"/>
    <mergeCell ref="C149:C152"/>
    <mergeCell ref="J149:J152"/>
    <mergeCell ref="A153:A156"/>
    <mergeCell ref="B153:B156"/>
    <mergeCell ref="A141:A144"/>
    <mergeCell ref="B141:B144"/>
    <mergeCell ref="C141:C144"/>
    <mergeCell ref="D141:D144"/>
    <mergeCell ref="J141:J144"/>
    <mergeCell ref="C153:C156"/>
    <mergeCell ref="D153:D156"/>
    <mergeCell ref="J153:J156"/>
    <mergeCell ref="B157:B160"/>
    <mergeCell ref="C157:C160"/>
    <mergeCell ref="D157:D160"/>
    <mergeCell ref="J157:J160"/>
    <mergeCell ref="A165:A168"/>
    <mergeCell ref="B165:B168"/>
    <mergeCell ref="C165:C168"/>
    <mergeCell ref="D165:D168"/>
    <mergeCell ref="J165:J168"/>
    <mergeCell ref="J38:J41"/>
    <mergeCell ref="A47:J47"/>
    <mergeCell ref="A42:J42"/>
    <mergeCell ref="A43:A46"/>
    <mergeCell ref="B43:B46"/>
    <mergeCell ref="C43:C46"/>
    <mergeCell ref="D43:D46"/>
    <mergeCell ref="J43:J46"/>
    <mergeCell ref="B38:B41"/>
    <mergeCell ref="C38:C41"/>
    <mergeCell ref="D38:D41"/>
    <mergeCell ref="A38:A41"/>
    <mergeCell ref="B109:B112"/>
    <mergeCell ref="C109:C112"/>
    <mergeCell ref="D109:D112"/>
    <mergeCell ref="J109:J112"/>
    <mergeCell ref="B93:B96"/>
    <mergeCell ref="C93:C96"/>
    <mergeCell ref="D190:D193"/>
    <mergeCell ref="J190:J193"/>
    <mergeCell ref="A194:A197"/>
    <mergeCell ref="B194:B197"/>
    <mergeCell ref="C194:C197"/>
    <mergeCell ref="D105:D108"/>
    <mergeCell ref="B121:B124"/>
    <mergeCell ref="C121:C124"/>
    <mergeCell ref="J177:J180"/>
    <mergeCell ref="A161:A164"/>
    <mergeCell ref="B161:B164"/>
    <mergeCell ref="C161:C164"/>
    <mergeCell ref="D161:D164"/>
    <mergeCell ref="A190:A193"/>
    <mergeCell ref="B190:B193"/>
    <mergeCell ref="C190:C193"/>
    <mergeCell ref="J161:J164"/>
    <mergeCell ref="A121:A124"/>
    <mergeCell ref="D93:D96"/>
    <mergeCell ref="J93:J96"/>
    <mergeCell ref="A97:A100"/>
    <mergeCell ref="B97:B100"/>
    <mergeCell ref="C97:C100"/>
    <mergeCell ref="D97:D100"/>
    <mergeCell ref="J97:J100"/>
    <mergeCell ref="A105:A108"/>
    <mergeCell ref="B105:B108"/>
    <mergeCell ref="C105:C108"/>
    <mergeCell ref="A93:A96"/>
    <mergeCell ref="C210:C213"/>
    <mergeCell ref="A214:A217"/>
    <mergeCell ref="B214:B217"/>
    <mergeCell ref="C214:C217"/>
    <mergeCell ref="D194:D197"/>
    <mergeCell ref="C198:C201"/>
    <mergeCell ref="A222:A225"/>
    <mergeCell ref="B222:B225"/>
    <mergeCell ref="C222:C225"/>
    <mergeCell ref="D222:D225"/>
    <mergeCell ref="J214:J217"/>
    <mergeCell ref="C350:C353"/>
    <mergeCell ref="D350:D353"/>
    <mergeCell ref="J350:J353"/>
    <mergeCell ref="A354:A357"/>
    <mergeCell ref="J354:J357"/>
    <mergeCell ref="J242:J245"/>
    <mergeCell ref="A298:A301"/>
    <mergeCell ref="B298:B301"/>
    <mergeCell ref="A246:A249"/>
    <mergeCell ref="B246:B249"/>
    <mergeCell ref="A242:A245"/>
    <mergeCell ref="B242:B245"/>
    <mergeCell ref="C242:C245"/>
    <mergeCell ref="C246:C249"/>
    <mergeCell ref="D246:D249"/>
    <mergeCell ref="D242:D245"/>
    <mergeCell ref="A290:A293"/>
    <mergeCell ref="C278:C281"/>
    <mergeCell ref="D278:D281"/>
    <mergeCell ref="D306:D309"/>
    <mergeCell ref="J306:J309"/>
    <mergeCell ref="D298:D301"/>
    <mergeCell ref="J298:J301"/>
    <mergeCell ref="J473:J478"/>
    <mergeCell ref="A473:A478"/>
    <mergeCell ref="B473:B478"/>
    <mergeCell ref="C473:C478"/>
    <mergeCell ref="D473:D478"/>
    <mergeCell ref="A460:A463"/>
    <mergeCell ref="B460:B463"/>
    <mergeCell ref="C460:C463"/>
    <mergeCell ref="D460:D463"/>
    <mergeCell ref="J460:J463"/>
    <mergeCell ref="A464:A467"/>
    <mergeCell ref="B464:B467"/>
    <mergeCell ref="C464:C467"/>
    <mergeCell ref="D464:D467"/>
    <mergeCell ref="J464:J467"/>
    <mergeCell ref="F476:F477"/>
    <mergeCell ref="A468:J468"/>
    <mergeCell ref="A469:A472"/>
    <mergeCell ref="B469:B472"/>
    <mergeCell ref="C469:C472"/>
    <mergeCell ref="D469:D472"/>
    <mergeCell ref="J469:J472"/>
    <mergeCell ref="D456:D459"/>
    <mergeCell ref="J456:J459"/>
    <mergeCell ref="A450:J450"/>
    <mergeCell ref="A451:A454"/>
    <mergeCell ref="B451:B454"/>
    <mergeCell ref="C451:C454"/>
    <mergeCell ref="D451:D454"/>
    <mergeCell ref="A455:J455"/>
    <mergeCell ref="A456:A459"/>
    <mergeCell ref="B456:B459"/>
    <mergeCell ref="C456:C459"/>
    <mergeCell ref="A437:A440"/>
    <mergeCell ref="B437:B440"/>
    <mergeCell ref="C437:C440"/>
    <mergeCell ref="D437:D440"/>
    <mergeCell ref="J437:J440"/>
    <mergeCell ref="A441:J441"/>
    <mergeCell ref="J451:J454"/>
    <mergeCell ref="A442:A445"/>
    <mergeCell ref="B442:B445"/>
    <mergeCell ref="C442:C445"/>
    <mergeCell ref="D442:D445"/>
    <mergeCell ref="J442:J445"/>
    <mergeCell ref="A446:A449"/>
    <mergeCell ref="B446:B449"/>
    <mergeCell ref="C446:C449"/>
    <mergeCell ref="D446:D449"/>
    <mergeCell ref="J446:J449"/>
    <mergeCell ref="A436:J436"/>
    <mergeCell ref="A387:A390"/>
    <mergeCell ref="B387:B390"/>
    <mergeCell ref="C387:C390"/>
    <mergeCell ref="D387:D390"/>
    <mergeCell ref="J387:J390"/>
    <mergeCell ref="A428:A431"/>
    <mergeCell ref="B428:B431"/>
    <mergeCell ref="C428:C431"/>
    <mergeCell ref="D428:D431"/>
    <mergeCell ref="J428:J431"/>
    <mergeCell ref="A408:A411"/>
    <mergeCell ref="B408:B411"/>
    <mergeCell ref="C408:C411"/>
    <mergeCell ref="D408:D411"/>
    <mergeCell ref="J408:J411"/>
    <mergeCell ref="A416:A419"/>
    <mergeCell ref="B416:B419"/>
    <mergeCell ref="C416:C419"/>
    <mergeCell ref="A424:A427"/>
    <mergeCell ref="A395:A398"/>
    <mergeCell ref="B395:B398"/>
    <mergeCell ref="C395:C398"/>
    <mergeCell ref="D395:D398"/>
    <mergeCell ref="C378:C381"/>
    <mergeCell ref="D378:D381"/>
    <mergeCell ref="J378:J381"/>
    <mergeCell ref="A366:A369"/>
    <mergeCell ref="B366:B369"/>
    <mergeCell ref="A432:A435"/>
    <mergeCell ref="B432:B435"/>
    <mergeCell ref="C432:C435"/>
    <mergeCell ref="D432:D435"/>
    <mergeCell ref="J432:J435"/>
    <mergeCell ref="A382:A385"/>
    <mergeCell ref="B382:B385"/>
    <mergeCell ref="C382:C385"/>
    <mergeCell ref="D382:D385"/>
    <mergeCell ref="J382:J385"/>
    <mergeCell ref="J395:J398"/>
    <mergeCell ref="A403:A407"/>
    <mergeCell ref="B403:B407"/>
    <mergeCell ref="C403:C407"/>
    <mergeCell ref="D403:D407"/>
    <mergeCell ref="J403:J407"/>
    <mergeCell ref="D416:D419"/>
    <mergeCell ref="A386:J386"/>
    <mergeCell ref="J370:J373"/>
    <mergeCell ref="A358:A361"/>
    <mergeCell ref="B358:B361"/>
    <mergeCell ref="C358:C361"/>
    <mergeCell ref="D358:D361"/>
    <mergeCell ref="J358:J361"/>
    <mergeCell ref="A362:A365"/>
    <mergeCell ref="B362:B365"/>
    <mergeCell ref="C362:C365"/>
    <mergeCell ref="D362:D365"/>
    <mergeCell ref="J362:J365"/>
    <mergeCell ref="A370:A373"/>
    <mergeCell ref="B370:B373"/>
    <mergeCell ref="C370:C373"/>
    <mergeCell ref="D370:D373"/>
    <mergeCell ref="A378:A381"/>
    <mergeCell ref="B378:B381"/>
    <mergeCell ref="F18:F19"/>
    <mergeCell ref="A21:J21"/>
    <mergeCell ref="A22:A26"/>
    <mergeCell ref="C366:C369"/>
    <mergeCell ref="A181:A184"/>
    <mergeCell ref="B181:B184"/>
    <mergeCell ref="C181:C184"/>
    <mergeCell ref="D181:D184"/>
    <mergeCell ref="J181:J184"/>
    <mergeCell ref="A185:A188"/>
    <mergeCell ref="B185:B188"/>
    <mergeCell ref="C185:C188"/>
    <mergeCell ref="D185:D188"/>
    <mergeCell ref="J185:J188"/>
    <mergeCell ref="D198:D201"/>
    <mergeCell ref="J198:J201"/>
    <mergeCell ref="A198:A201"/>
    <mergeCell ref="B198:B201"/>
    <mergeCell ref="A16:J16"/>
    <mergeCell ref="A17:J17"/>
    <mergeCell ref="A32:J32"/>
    <mergeCell ref="A33:A36"/>
    <mergeCell ref="B33:B36"/>
    <mergeCell ref="C33:C36"/>
    <mergeCell ref="D33:D36"/>
    <mergeCell ref="J33:J36"/>
    <mergeCell ref="A37:J37"/>
    <mergeCell ref="G18:I18"/>
    <mergeCell ref="A18:A19"/>
    <mergeCell ref="B18:B19"/>
    <mergeCell ref="C18:D18"/>
    <mergeCell ref="J18:J19"/>
    <mergeCell ref="B22:B26"/>
    <mergeCell ref="C22:C26"/>
    <mergeCell ref="D22:D26"/>
    <mergeCell ref="J22:J26"/>
    <mergeCell ref="A27:A31"/>
    <mergeCell ref="B27:B31"/>
    <mergeCell ref="E18:E19"/>
    <mergeCell ref="C27:C31"/>
    <mergeCell ref="D27:D31"/>
    <mergeCell ref="J27:J31"/>
    <mergeCell ref="A330:A333"/>
    <mergeCell ref="B302:B305"/>
    <mergeCell ref="A326:A329"/>
    <mergeCell ref="C298:C301"/>
    <mergeCell ref="C302:C305"/>
    <mergeCell ref="C61:C64"/>
    <mergeCell ref="D61:D64"/>
    <mergeCell ref="J61:J64"/>
    <mergeCell ref="A77:A80"/>
    <mergeCell ref="B77:B80"/>
    <mergeCell ref="C77:C80"/>
    <mergeCell ref="D77:D80"/>
    <mergeCell ref="J77:J80"/>
    <mergeCell ref="A69:A72"/>
    <mergeCell ref="B69:B72"/>
    <mergeCell ref="C69:C72"/>
    <mergeCell ref="D69:D72"/>
    <mergeCell ref="J69:J72"/>
    <mergeCell ref="J73:J76"/>
    <mergeCell ref="A73:A76"/>
    <mergeCell ref="B73:B76"/>
    <mergeCell ref="C73:C76"/>
    <mergeCell ref="D73:D76"/>
    <mergeCell ref="A65:A68"/>
    <mergeCell ref="A258:A261"/>
    <mergeCell ref="B258:B261"/>
    <mergeCell ref="C258:C261"/>
    <mergeCell ref="D258:D261"/>
    <mergeCell ref="J258:J261"/>
    <mergeCell ref="A262:A265"/>
    <mergeCell ref="B262:B265"/>
    <mergeCell ref="B270:B273"/>
    <mergeCell ref="J278:J281"/>
    <mergeCell ref="A266:A269"/>
    <mergeCell ref="B266:B269"/>
    <mergeCell ref="C266:C269"/>
    <mergeCell ref="D266:D269"/>
    <mergeCell ref="J266:J269"/>
    <mergeCell ref="A274:A277"/>
    <mergeCell ref="B274:B277"/>
    <mergeCell ref="C274:C277"/>
    <mergeCell ref="D274:D277"/>
    <mergeCell ref="J274:J277"/>
    <mergeCell ref="A278:A281"/>
    <mergeCell ref="B278:B281"/>
    <mergeCell ref="C286:C289"/>
    <mergeCell ref="C262:C265"/>
    <mergeCell ref="D262:D265"/>
    <mergeCell ref="J262:J265"/>
    <mergeCell ref="C270:C273"/>
    <mergeCell ref="D270:D273"/>
    <mergeCell ref="J270:J273"/>
    <mergeCell ref="A270:A273"/>
    <mergeCell ref="B290:B293"/>
    <mergeCell ref="J282:J285"/>
    <mergeCell ref="A282:A285"/>
    <mergeCell ref="B282:B285"/>
    <mergeCell ref="C282:C285"/>
    <mergeCell ref="D282:D285"/>
    <mergeCell ref="A286:A289"/>
    <mergeCell ref="B286:B289"/>
    <mergeCell ref="D286:D289"/>
    <mergeCell ref="J286:J289"/>
    <mergeCell ref="D290:D293"/>
    <mergeCell ref="J290:J293"/>
    <mergeCell ref="A334:A337"/>
    <mergeCell ref="B334:B337"/>
    <mergeCell ref="C334:C337"/>
    <mergeCell ref="A310:A313"/>
    <mergeCell ref="B310:B313"/>
    <mergeCell ref="C310:C313"/>
    <mergeCell ref="D310:D313"/>
    <mergeCell ref="J310:J313"/>
    <mergeCell ref="A322:A325"/>
    <mergeCell ref="B322:B325"/>
    <mergeCell ref="C322:C325"/>
    <mergeCell ref="D322:D325"/>
    <mergeCell ref="J322:J325"/>
    <mergeCell ref="A314:A317"/>
    <mergeCell ref="B314:B317"/>
    <mergeCell ref="C314:C317"/>
    <mergeCell ref="D314:D317"/>
    <mergeCell ref="J314:J317"/>
    <mergeCell ref="A318:A321"/>
    <mergeCell ref="B318:B321"/>
    <mergeCell ref="C318:C321"/>
    <mergeCell ref="D318:D321"/>
    <mergeCell ref="J318:J321"/>
    <mergeCell ref="J326:J329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rowBreaks count="19" manualBreakCount="19">
    <brk id="31" max="9" man="1"/>
    <brk id="56" max="9" man="1"/>
    <brk id="80" max="9" man="1"/>
    <brk id="108" max="9" man="1"/>
    <brk id="136" max="9" man="1"/>
    <brk id="156" max="9" man="1"/>
    <brk id="180" max="9" man="1"/>
    <brk id="201" max="9" man="1"/>
    <brk id="221" max="9" man="1"/>
    <brk id="245" max="9" man="1"/>
    <brk id="269" max="9" man="1"/>
    <brk id="285" max="9" man="1"/>
    <brk id="301" max="9" man="1"/>
    <brk id="317" max="9" man="1"/>
    <brk id="333" max="9" man="1"/>
    <brk id="357" max="9" man="1"/>
    <brk id="385" max="9" man="1"/>
    <brk id="419" max="9" man="1"/>
    <brk id="4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05.11.2024</vt:lpstr>
      <vt:lpstr>'05.11.2024'!Область_печати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2024-11-07T15:12:09Z</dcterms:modified>
</cp:coreProperties>
</file>