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23.06.2025" sheetId="1" r:id="rId1"/>
  </sheets>
  <definedNames>
    <definedName name="_xlnm._FilterDatabase" localSheetId="0" hidden="1">'23.06.2025'!$A$5:$P$600</definedName>
    <definedName name="_xlnm.Print_Area" localSheetId="0">'23.06.2025'!$A$1:$K$598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3" i="1" l="1"/>
  <c r="I593" i="1"/>
  <c r="J593" i="1"/>
  <c r="G593" i="1"/>
  <c r="G592" i="1"/>
  <c r="H592" i="1"/>
  <c r="I592" i="1"/>
  <c r="J592" i="1"/>
  <c r="H591" i="1"/>
  <c r="I591" i="1"/>
  <c r="J591" i="1"/>
  <c r="G591" i="1"/>
  <c r="G385" i="1"/>
  <c r="J385" i="1"/>
  <c r="I385" i="1"/>
  <c r="H385" i="1"/>
  <c r="H272" i="1" l="1"/>
  <c r="H171" i="1"/>
  <c r="H119" i="1"/>
  <c r="H115" i="1"/>
  <c r="H102" i="1"/>
  <c r="H246" i="1"/>
  <c r="H463" i="1"/>
  <c r="H70" i="1"/>
  <c r="H71" i="1"/>
  <c r="H589" i="1"/>
  <c r="H588" i="1"/>
  <c r="H471" i="1" l="1"/>
  <c r="H275" i="1"/>
  <c r="H106" i="1"/>
  <c r="H279" i="1"/>
  <c r="J421" i="1"/>
  <c r="I421" i="1"/>
  <c r="H421" i="1"/>
  <c r="G421" i="1"/>
  <c r="J236" i="1" l="1"/>
  <c r="I236" i="1"/>
  <c r="H236" i="1"/>
  <c r="G236" i="1"/>
  <c r="H501" i="1" l="1"/>
  <c r="H497" i="1"/>
  <c r="H571" i="1" l="1"/>
  <c r="H579" i="1" l="1"/>
  <c r="H526" i="1" l="1"/>
  <c r="H312" i="1"/>
  <c r="H308" i="1"/>
  <c r="J94" i="1"/>
  <c r="I94" i="1"/>
  <c r="H94" i="1"/>
  <c r="G94" i="1"/>
  <c r="H432" i="1" l="1"/>
  <c r="H428" i="1"/>
  <c r="H300" i="1" l="1"/>
  <c r="H284" i="1"/>
  <c r="H348" i="1" l="1"/>
  <c r="H111" i="1"/>
  <c r="G102" i="1"/>
  <c r="I548" i="1" l="1"/>
  <c r="J548" i="1"/>
  <c r="I594" i="1" l="1"/>
  <c r="J594" i="1"/>
  <c r="H594" i="1"/>
  <c r="H551" i="1"/>
  <c r="H548" i="1" s="1"/>
  <c r="G551" i="1"/>
  <c r="G548" i="1" s="1"/>
  <c r="H522" i="1"/>
  <c r="H509" i="1"/>
  <c r="J433" i="1" l="1"/>
  <c r="I433" i="1"/>
  <c r="H433" i="1"/>
  <c r="G433" i="1"/>
  <c r="J437" i="1"/>
  <c r="I437" i="1"/>
  <c r="H437" i="1"/>
  <c r="G437" i="1"/>
  <c r="H344" i="1" l="1"/>
  <c r="H328" i="1"/>
  <c r="H320" i="1"/>
  <c r="H316" i="1"/>
  <c r="H304" i="1"/>
  <c r="H292" i="1"/>
  <c r="H288" i="1"/>
  <c r="H187" i="1"/>
  <c r="H183" i="1"/>
  <c r="H175" i="1"/>
  <c r="H167" i="1"/>
  <c r="H163" i="1"/>
  <c r="H159" i="1"/>
  <c r="H143" i="1"/>
  <c r="H139" i="1"/>
  <c r="H131" i="1"/>
  <c r="G279" i="1" l="1"/>
  <c r="G487" i="1"/>
  <c r="G471" i="1" l="1"/>
  <c r="G463" i="1"/>
  <c r="G475" i="1"/>
  <c r="G467" i="1"/>
  <c r="G442" i="1"/>
  <c r="G275" i="1"/>
  <c r="G246" i="1"/>
  <c r="G266" i="1"/>
  <c r="G106" i="1"/>
  <c r="G57" i="1"/>
  <c r="G56" i="1"/>
  <c r="G55" i="1"/>
  <c r="G52" i="1"/>
  <c r="G51" i="1"/>
  <c r="G50" i="1"/>
  <c r="J59" i="1" l="1"/>
  <c r="I59" i="1"/>
  <c r="H59" i="1"/>
  <c r="I54" i="1"/>
  <c r="I49" i="1"/>
  <c r="H595" i="1"/>
  <c r="I595" i="1"/>
  <c r="J595" i="1"/>
  <c r="G586" i="1" l="1"/>
  <c r="H586" i="1"/>
  <c r="J586" i="1"/>
  <c r="I586" i="1"/>
  <c r="I581" i="1"/>
  <c r="I576" i="1"/>
  <c r="I572" i="1"/>
  <c r="I568" i="1"/>
  <c r="I563" i="1"/>
  <c r="I558" i="1"/>
  <c r="J558" i="1"/>
  <c r="I554" i="1"/>
  <c r="I543" i="1"/>
  <c r="I539" i="1"/>
  <c r="G539" i="1"/>
  <c r="J539" i="1"/>
  <c r="H539" i="1"/>
  <c r="I535" i="1"/>
  <c r="I531" i="1"/>
  <c r="I527" i="1"/>
  <c r="I523" i="1"/>
  <c r="J523" i="1"/>
  <c r="I522" i="1"/>
  <c r="I519" i="1" s="1"/>
  <c r="I515" i="1"/>
  <c r="I510" i="1"/>
  <c r="I509" i="1"/>
  <c r="I502" i="1"/>
  <c r="I498" i="1"/>
  <c r="I494" i="1"/>
  <c r="I461" i="1"/>
  <c r="I469" i="1"/>
  <c r="I489" i="1"/>
  <c r="I485" i="1"/>
  <c r="I481" i="1"/>
  <c r="I477" i="1"/>
  <c r="J477" i="1"/>
  <c r="I473" i="1"/>
  <c r="I465" i="1"/>
  <c r="I457" i="1"/>
  <c r="I429" i="1"/>
  <c r="I425" i="1"/>
  <c r="I417" i="1"/>
  <c r="I413" i="1"/>
  <c r="I409" i="1"/>
  <c r="I405" i="1"/>
  <c r="I401" i="1"/>
  <c r="I397" i="1"/>
  <c r="I393" i="1"/>
  <c r="I389" i="1"/>
  <c r="I506" i="1" l="1"/>
  <c r="J365" i="1"/>
  <c r="I365" i="1"/>
  <c r="H365" i="1"/>
  <c r="G365" i="1"/>
  <c r="J361" i="1"/>
  <c r="I361" i="1"/>
  <c r="H361" i="1"/>
  <c r="G361" i="1"/>
  <c r="J357" i="1"/>
  <c r="I357" i="1"/>
  <c r="H357" i="1"/>
  <c r="G357" i="1"/>
  <c r="J381" i="1"/>
  <c r="I381" i="1"/>
  <c r="J377" i="1"/>
  <c r="I377" i="1"/>
  <c r="H377" i="1"/>
  <c r="G377" i="1"/>
  <c r="I373" i="1"/>
  <c r="I369" i="1" l="1"/>
  <c r="I353" i="1"/>
  <c r="H353" i="1"/>
  <c r="I349" i="1"/>
  <c r="I441" i="1"/>
  <c r="I450" i="1"/>
  <c r="I445" i="1"/>
  <c r="J348" i="1"/>
  <c r="I345" i="1"/>
  <c r="I341" i="1"/>
  <c r="J340" i="1"/>
  <c r="I337" i="1"/>
  <c r="J336" i="1"/>
  <c r="I336" i="1"/>
  <c r="I333" i="1" s="1"/>
  <c r="H336" i="1"/>
  <c r="I329" i="1"/>
  <c r="H332" i="1"/>
  <c r="I325" i="1"/>
  <c r="I324" i="1"/>
  <c r="I321" i="1" s="1"/>
  <c r="I317" i="1"/>
  <c r="I313" i="1"/>
  <c r="I309" i="1"/>
  <c r="J308" i="1"/>
  <c r="I305" i="1"/>
  <c r="I304" i="1"/>
  <c r="I301" i="1" s="1"/>
  <c r="I297" i="1"/>
  <c r="I296" i="1"/>
  <c r="I293" i="1" s="1"/>
  <c r="H296" i="1"/>
  <c r="I289" i="1"/>
  <c r="J288" i="1"/>
  <c r="I288" i="1"/>
  <c r="I285" i="1" s="1"/>
  <c r="J284" i="1"/>
  <c r="I284" i="1"/>
  <c r="I277" i="1"/>
  <c r="I273" i="1"/>
  <c r="I269" i="1"/>
  <c r="I264" i="1"/>
  <c r="I260" i="1"/>
  <c r="I256" i="1"/>
  <c r="I252" i="1"/>
  <c r="I248" i="1"/>
  <c r="I244" i="1"/>
  <c r="J131" i="1"/>
  <c r="I240" i="1"/>
  <c r="J232" i="1"/>
  <c r="I232" i="1"/>
  <c r="H232" i="1"/>
  <c r="G232" i="1"/>
  <c r="J228" i="1"/>
  <c r="I228" i="1"/>
  <c r="H228" i="1"/>
  <c r="G228" i="1"/>
  <c r="J224" i="1"/>
  <c r="I224" i="1"/>
  <c r="H224" i="1"/>
  <c r="G224" i="1"/>
  <c r="I220" i="1"/>
  <c r="I216" i="1"/>
  <c r="I212" i="1"/>
  <c r="I281" i="1" l="1"/>
  <c r="I449" i="1"/>
  <c r="I208" i="1"/>
  <c r="I204" i="1"/>
  <c r="I200" i="1"/>
  <c r="I196" i="1"/>
  <c r="G196" i="1"/>
  <c r="J196" i="1"/>
  <c r="H196" i="1"/>
  <c r="J192" i="1"/>
  <c r="I192" i="1"/>
  <c r="H192" i="1"/>
  <c r="G192" i="1"/>
  <c r="I188" i="1"/>
  <c r="H191" i="1"/>
  <c r="I184" i="1"/>
  <c r="I180" i="1"/>
  <c r="J179" i="1"/>
  <c r="I176" i="1"/>
  <c r="I172" i="1"/>
  <c r="I168" i="1"/>
  <c r="I164" i="1"/>
  <c r="I160" i="1"/>
  <c r="I156" i="1"/>
  <c r="J156" i="1"/>
  <c r="J155" i="1"/>
  <c r="I152" i="1"/>
  <c r="J148" i="1"/>
  <c r="I148" i="1"/>
  <c r="H148" i="1"/>
  <c r="G148" i="1"/>
  <c r="I144" i="1"/>
  <c r="J147" i="1"/>
  <c r="J144" i="1" s="1"/>
  <c r="I140" i="1"/>
  <c r="I136" i="1"/>
  <c r="I132" i="1"/>
  <c r="I131" i="1"/>
  <c r="I128" i="1" s="1"/>
  <c r="I124" i="1"/>
  <c r="H127" i="1"/>
  <c r="I120" i="1"/>
  <c r="I119" i="1"/>
  <c r="I116" i="1" s="1"/>
  <c r="I112" i="1"/>
  <c r="J115" i="1"/>
  <c r="J111" i="1"/>
  <c r="I111" i="1"/>
  <c r="I104" i="1"/>
  <c r="I99" i="1"/>
  <c r="J89" i="1"/>
  <c r="I89" i="1"/>
  <c r="H89" i="1"/>
  <c r="G89" i="1"/>
  <c r="J85" i="1"/>
  <c r="I85" i="1"/>
  <c r="H85" i="1"/>
  <c r="G85" i="1"/>
  <c r="J81" i="1"/>
  <c r="I81" i="1"/>
  <c r="H81" i="1"/>
  <c r="G81" i="1"/>
  <c r="I108" i="1" l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H590" i="1" l="1"/>
  <c r="I590" i="1"/>
  <c r="J590" i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75" i="1" l="1"/>
  <c r="G579" i="1"/>
  <c r="G571" i="1"/>
  <c r="G561" i="1"/>
  <c r="G557" i="1"/>
  <c r="G538" i="1"/>
  <c r="G492" i="1"/>
  <c r="G460" i="1"/>
  <c r="G432" i="1"/>
  <c r="G428" i="1"/>
  <c r="G243" i="1"/>
  <c r="G497" i="1" l="1"/>
  <c r="G501" i="1"/>
  <c r="G348" i="1" l="1"/>
  <c r="G296" i="1"/>
  <c r="G183" i="1"/>
  <c r="G171" i="1"/>
  <c r="G139" i="1"/>
  <c r="G522" i="1" l="1"/>
  <c r="G509" i="1"/>
  <c r="G344" i="1"/>
  <c r="G320" i="1"/>
  <c r="G179" i="1"/>
  <c r="G176" i="1" s="1"/>
  <c r="G143" i="1"/>
  <c r="G140" i="1" s="1"/>
  <c r="G136" i="1"/>
  <c r="G103" i="1" l="1"/>
  <c r="G594" i="1" l="1"/>
  <c r="G336" i="1"/>
  <c r="G292" i="1"/>
  <c r="G288" i="1"/>
  <c r="G115" i="1"/>
  <c r="J160" i="1"/>
  <c r="H160" i="1"/>
  <c r="G160" i="1"/>
  <c r="G203" i="1" l="1"/>
  <c r="G167" i="1"/>
  <c r="G175" i="1" l="1"/>
  <c r="G300" i="1"/>
  <c r="G527" i="1"/>
  <c r="J527" i="1"/>
  <c r="H527" i="1"/>
  <c r="G27" i="1" l="1"/>
  <c r="G26" i="1"/>
  <c r="J510" i="1"/>
  <c r="H510" i="1"/>
  <c r="G510" i="1"/>
  <c r="G595" i="1" l="1"/>
  <c r="G502" i="1"/>
  <c r="J502" i="1"/>
  <c r="H502" i="1"/>
  <c r="G545" i="1"/>
  <c r="G25" i="1" l="1"/>
  <c r="J481" i="1" l="1"/>
  <c r="H481" i="1"/>
  <c r="G481" i="1"/>
  <c r="J581" i="1" l="1"/>
  <c r="H581" i="1"/>
  <c r="G581" i="1"/>
  <c r="G566" i="1" l="1"/>
  <c r="G526" i="1"/>
  <c r="G519" i="1"/>
  <c r="J519" i="1"/>
  <c r="H519" i="1"/>
  <c r="G332" i="1"/>
  <c r="G316" i="1"/>
  <c r="G308" i="1"/>
  <c r="G272" i="1"/>
  <c r="J188" i="1"/>
  <c r="H188" i="1"/>
  <c r="G188" i="1"/>
  <c r="J184" i="1"/>
  <c r="H184" i="1"/>
  <c r="G184" i="1"/>
  <c r="H156" i="1"/>
  <c r="G156" i="1"/>
  <c r="G147" i="1"/>
  <c r="J132" i="1"/>
  <c r="H132" i="1"/>
  <c r="G132" i="1"/>
  <c r="G131" i="1" l="1"/>
  <c r="G119" i="1"/>
  <c r="G111" i="1"/>
  <c r="G304" i="1" l="1"/>
  <c r="G200" i="1" l="1"/>
  <c r="J200" i="1"/>
  <c r="H200" i="1"/>
  <c r="G518" i="1" l="1"/>
  <c r="G312" i="1"/>
  <c r="G211" i="1"/>
  <c r="J417" i="1" l="1"/>
  <c r="H417" i="1"/>
  <c r="G417" i="1"/>
  <c r="J413" i="1"/>
  <c r="H413" i="1"/>
  <c r="G413" i="1"/>
  <c r="J409" i="1"/>
  <c r="H409" i="1"/>
  <c r="G409" i="1"/>
  <c r="J405" i="1"/>
  <c r="H405" i="1"/>
  <c r="G405" i="1"/>
  <c r="J401" i="1"/>
  <c r="H401" i="1"/>
  <c r="G401" i="1"/>
  <c r="J397" i="1"/>
  <c r="H397" i="1"/>
  <c r="G397" i="1"/>
  <c r="J393" i="1"/>
  <c r="H393" i="1"/>
  <c r="G393" i="1"/>
  <c r="J389" i="1"/>
  <c r="H389" i="1"/>
  <c r="G389" i="1"/>
  <c r="G328" i="1" l="1"/>
  <c r="J176" i="1"/>
  <c r="H176" i="1"/>
  <c r="J489" i="1"/>
  <c r="H489" i="1"/>
  <c r="G489" i="1"/>
  <c r="G340" i="1"/>
  <c r="G284" i="1"/>
  <c r="G204" i="1"/>
  <c r="J204" i="1"/>
  <c r="H204" i="1"/>
  <c r="G155" i="1"/>
  <c r="G324" i="1" l="1"/>
  <c r="J531" i="1" l="1"/>
  <c r="H531" i="1"/>
  <c r="G531" i="1"/>
  <c r="G590" i="1" l="1"/>
  <c r="J453" i="1"/>
  <c r="H453" i="1"/>
  <c r="G453" i="1"/>
  <c r="J449" i="1"/>
  <c r="H449" i="1"/>
  <c r="G449" i="1"/>
  <c r="J445" i="1"/>
  <c r="H445" i="1"/>
  <c r="G445" i="1"/>
  <c r="G345" i="1"/>
  <c r="J345" i="1"/>
  <c r="H345" i="1"/>
  <c r="J317" i="1"/>
  <c r="H317" i="1"/>
  <c r="G317" i="1"/>
  <c r="J305" i="1"/>
  <c r="H305" i="1"/>
  <c r="G305" i="1"/>
  <c r="J256" i="1"/>
  <c r="H256" i="1"/>
  <c r="G256" i="1"/>
  <c r="J252" i="1"/>
  <c r="H252" i="1"/>
  <c r="G252" i="1"/>
  <c r="J248" i="1"/>
  <c r="H248" i="1"/>
  <c r="G248" i="1"/>
  <c r="J172" i="1"/>
  <c r="H172" i="1"/>
  <c r="G172" i="1"/>
  <c r="J168" i="1"/>
  <c r="H168" i="1"/>
  <c r="G164" i="1"/>
  <c r="J164" i="1"/>
  <c r="H164" i="1"/>
  <c r="G152" i="1"/>
  <c r="J152" i="1"/>
  <c r="H152" i="1"/>
  <c r="H144" i="1"/>
  <c r="G144" i="1"/>
  <c r="J140" i="1"/>
  <c r="H140" i="1"/>
  <c r="J136" i="1"/>
  <c r="H136" i="1"/>
  <c r="J124" i="1"/>
  <c r="H124" i="1"/>
  <c r="G124" i="1"/>
  <c r="G120" i="1"/>
  <c r="J120" i="1"/>
  <c r="H120" i="1"/>
  <c r="G168" i="1" l="1"/>
  <c r="J244" i="1" l="1"/>
  <c r="H244" i="1"/>
  <c r="G244" i="1"/>
  <c r="J220" i="1"/>
  <c r="H220" i="1"/>
  <c r="G220" i="1"/>
  <c r="J216" i="1"/>
  <c r="H216" i="1"/>
  <c r="G216" i="1"/>
  <c r="J212" i="1"/>
  <c r="H212" i="1"/>
  <c r="G212" i="1"/>
  <c r="J128" i="1" l="1"/>
  <c r="H128" i="1"/>
  <c r="G128" i="1"/>
  <c r="J112" i="1"/>
  <c r="H112" i="1"/>
  <c r="G112" i="1"/>
  <c r="J341" i="1" l="1"/>
  <c r="H341" i="1"/>
  <c r="G341" i="1"/>
  <c r="J337" i="1" l="1"/>
  <c r="H337" i="1"/>
  <c r="G337" i="1"/>
  <c r="G273" i="1" l="1"/>
  <c r="H477" i="1" l="1"/>
  <c r="G477" i="1"/>
  <c r="J208" i="1" l="1"/>
  <c r="H208" i="1"/>
  <c r="G208" i="1"/>
  <c r="J441" i="1" l="1"/>
  <c r="H441" i="1"/>
  <c r="G441" i="1"/>
  <c r="G325" i="1" l="1"/>
  <c r="G349" i="1"/>
  <c r="G485" i="1"/>
  <c r="J498" i="1" l="1"/>
  <c r="H498" i="1"/>
  <c r="G498" i="1"/>
  <c r="J369" i="1"/>
  <c r="H369" i="1"/>
  <c r="G369" i="1"/>
  <c r="H381" i="1"/>
  <c r="G381" i="1"/>
  <c r="J373" i="1"/>
  <c r="H373" i="1"/>
  <c r="G373" i="1"/>
  <c r="J108" i="1" l="1"/>
  <c r="H108" i="1"/>
  <c r="G108" i="1"/>
  <c r="J23" i="1" l="1"/>
  <c r="H23" i="1"/>
  <c r="G23" i="1"/>
  <c r="J18" i="1" l="1"/>
  <c r="H18" i="1"/>
  <c r="G18" i="1"/>
  <c r="H523" i="1" l="1"/>
  <c r="G523" i="1"/>
  <c r="G329" i="1"/>
  <c r="J329" i="1"/>
  <c r="H329" i="1"/>
  <c r="J321" i="1"/>
  <c r="H321" i="1"/>
  <c r="G321" i="1"/>
  <c r="J301" i="1" l="1"/>
  <c r="H301" i="1"/>
  <c r="G301" i="1"/>
  <c r="J116" i="1"/>
  <c r="H116" i="1"/>
  <c r="G116" i="1"/>
  <c r="J485" i="1" l="1"/>
  <c r="H485" i="1"/>
  <c r="H425" i="1" l="1"/>
  <c r="J309" i="1" l="1"/>
  <c r="H309" i="1"/>
  <c r="G309" i="1"/>
  <c r="J515" i="1" l="1"/>
  <c r="H515" i="1"/>
  <c r="G515" i="1"/>
  <c r="G506" i="1" l="1"/>
  <c r="J506" i="1"/>
  <c r="H506" i="1"/>
  <c r="J333" i="1"/>
  <c r="H333" i="1"/>
  <c r="G333" i="1"/>
  <c r="J325" i="1"/>
  <c r="H325" i="1"/>
  <c r="G313" i="1"/>
  <c r="J313" i="1"/>
  <c r="H313" i="1"/>
  <c r="J297" i="1"/>
  <c r="H297" i="1"/>
  <c r="G297" i="1"/>
  <c r="G293" i="1"/>
  <c r="J293" i="1"/>
  <c r="H293" i="1"/>
  <c r="J281" i="1"/>
  <c r="H281" i="1"/>
  <c r="G281" i="1"/>
  <c r="G180" i="1" l="1"/>
  <c r="J180" i="1"/>
  <c r="H180" i="1"/>
  <c r="J289" i="1" l="1"/>
  <c r="H289" i="1"/>
  <c r="G289" i="1"/>
  <c r="J285" i="1" l="1"/>
  <c r="H285" i="1"/>
  <c r="G285" i="1"/>
  <c r="J429" i="1" l="1"/>
  <c r="H429" i="1"/>
  <c r="G429" i="1"/>
  <c r="J353" i="1" l="1"/>
  <c r="G353" i="1"/>
  <c r="J349" i="1"/>
  <c r="H349" i="1"/>
  <c r="G59" i="1"/>
  <c r="J576" i="1" l="1"/>
  <c r="H576" i="1"/>
  <c r="G576" i="1"/>
  <c r="J572" i="1"/>
  <c r="H572" i="1"/>
  <c r="G572" i="1"/>
  <c r="J568" i="1"/>
  <c r="H568" i="1"/>
  <c r="G568" i="1"/>
  <c r="J563" i="1"/>
  <c r="H563" i="1"/>
  <c r="G563" i="1"/>
  <c r="H558" i="1"/>
  <c r="G558" i="1"/>
  <c r="J554" i="1"/>
  <c r="H554" i="1"/>
  <c r="G554" i="1"/>
  <c r="J543" i="1"/>
  <c r="H543" i="1"/>
  <c r="G543" i="1"/>
  <c r="J535" i="1"/>
  <c r="H535" i="1"/>
  <c r="G535" i="1"/>
  <c r="J494" i="1"/>
  <c r="H494" i="1"/>
  <c r="G494" i="1"/>
  <c r="J473" i="1"/>
  <c r="H473" i="1"/>
  <c r="G473" i="1"/>
  <c r="J469" i="1"/>
  <c r="H469" i="1"/>
  <c r="G469" i="1"/>
  <c r="J465" i="1"/>
  <c r="H465" i="1"/>
  <c r="G465" i="1"/>
  <c r="J461" i="1"/>
  <c r="H461" i="1"/>
  <c r="G461" i="1"/>
  <c r="J457" i="1"/>
  <c r="H457" i="1"/>
  <c r="G457" i="1"/>
  <c r="J425" i="1"/>
  <c r="G425" i="1"/>
  <c r="J277" i="1" l="1"/>
  <c r="H277" i="1"/>
  <c r="G277" i="1"/>
  <c r="J273" i="1"/>
  <c r="H273" i="1"/>
  <c r="J269" i="1"/>
  <c r="H269" i="1"/>
  <c r="G269" i="1"/>
  <c r="J264" i="1"/>
  <c r="H264" i="1"/>
  <c r="G264" i="1"/>
  <c r="J260" i="1"/>
  <c r="H260" i="1"/>
  <c r="G260" i="1"/>
  <c r="J240" i="1"/>
  <c r="H240" i="1"/>
  <c r="G240" i="1"/>
  <c r="J104" i="1" l="1"/>
  <c r="H104" i="1"/>
  <c r="G104" i="1"/>
  <c r="J99" i="1"/>
  <c r="H99" i="1"/>
  <c r="G99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<sst xmlns="http://schemas.openxmlformats.org/spreadsheetml/2006/main" count="1578" uniqueCount="364">
  <si>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</si>
  <si>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</si>
  <si>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</si>
  <si>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</si>
  <si>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</si>
  <si>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</si>
  <si>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</si>
  <si>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</si>
  <si>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</si>
  <si>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</si>
  <si>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</si>
  <si>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</si>
  <si>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</si>
  <si>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</si>
  <si>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</si>
  <si>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</si>
  <si>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</si>
  <si>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</si>
  <si>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</si>
  <si>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</si>
  <si>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</si>
  <si>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</si>
  <si>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</si>
  <si>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</si>
  <si>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</si>
  <si>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</si>
  <si>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</si>
  <si>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</si>
  <si>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</si>
  <si>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</si>
  <si>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</si>
  <si>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</si>
  <si>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</si>
  <si>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</si>
  <si>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</si>
  <si>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</si>
  <si>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</si>
  <si>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</si>
  <si>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</si>
  <si>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</si>
  <si>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</si>
  <si>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</si>
  <si>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</si>
  <si>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</si>
  <si>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</si>
  <si>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</si>
  <si>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</si>
  <si>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</si>
  <si>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</si>
  <si>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</si>
  <si>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</si>
  <si>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</si>
  <si>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</si>
  <si>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</si>
  <si>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</si>
  <si>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</si>
  <si>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</si>
  <si>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</si>
  <si>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</si>
  <si>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</si>
  <si>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</si>
  <si>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</si>
  <si>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</si>
  <si>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</si>
  <si>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</si>
  <si>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</si>
  <si>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</si>
  <si>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</si>
  <si>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</si>
  <si>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</si>
  <si>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</si>
  <si>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</si>
  <si>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</si>
  <si>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904 0709 01 4 07 78070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</si>
  <si>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</si>
  <si>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</si>
  <si>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</si>
  <si>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</si>
  <si>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</si>
  <si>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</si>
  <si>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</si>
  <si>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</si>
  <si>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</si>
  <si>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</si>
  <si>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</si>
  <si>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</si>
  <si>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</si>
  <si>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</si>
  <si>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</si>
  <si>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</si>
  <si>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</si>
  <si>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</si>
  <si>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</si>
  <si>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</si>
  <si>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</si>
  <si>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</si>
  <si>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</si>
  <si>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</si>
  <si>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</si>
  <si>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</si>
  <si>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</si>
  <si>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</si>
  <si>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</si>
  <si>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</si>
  <si>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</si>
  <si>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</si>
  <si>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</si>
  <si>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</si>
  <si>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</si>
  <si>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</si>
  <si>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</si>
  <si>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</si>
  <si>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</si>
  <si>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</si>
  <si>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</si>
  <si>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</si>
  <si>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</si>
  <si>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</si>
  <si>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</si>
  <si>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</si>
  <si>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</si>
  <si>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</si>
  <si>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</si>
  <si>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</si>
  <si>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</si>
  <si>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</si>
  <si>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</si>
  <si>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</si>
  <si>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</si>
  <si>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</si>
  <si>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</si>
  <si>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</si>
  <si>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</si>
  <si>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</si>
  <si>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</si>
  <si>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</si>
  <si>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</si>
  <si>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</si>
  <si>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</si>
  <si>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</si>
  <si>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</si>
  <si>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</si>
  <si>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</si>
  <si>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</si>
  <si>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</si>
  <si>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</si>
  <si>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</si>
  <si>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</si>
  <si>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</si>
  <si>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</si>
  <si>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</si>
  <si>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</si>
  <si>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</si>
  <si>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</si>
  <si>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</si>
  <si>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</si>
  <si>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</si>
  <si>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</si>
  <si>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</si>
  <si>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</si>
  <si>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</si>
  <si>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</si>
  <si>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</si>
  <si>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</si>
  <si>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</si>
  <si>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</si>
  <si>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</si>
  <si>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</si>
  <si>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</si>
  <si>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</si>
  <si>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</si>
  <si>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</si>
  <si>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</si>
  <si>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</si>
  <si>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</si>
  <si>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</si>
  <si>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</si>
  <si>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</si>
  <si>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</si>
  <si>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</si>
  <si>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</si>
  <si>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</si>
  <si>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</si>
  <si>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</si>
  <si>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</si>
  <si>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</si>
  <si>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</si>
  <si>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</si>
  <si>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</si>
  <si>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</si>
  <si>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</si>
  <si>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</si>
  <si>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</si>
  <si>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</si>
  <si>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</si>
  <si>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</si>
  <si>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</si>
  <si>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</si>
  <si>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</si>
  <si>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</si>
  <si>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</si>
  <si>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</si>
  <si>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</si>
  <si>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</si>
  <si>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</si>
  <si>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</si>
  <si>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</si>
  <si>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</si>
  <si>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</si>
  <si>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</si>
  <si>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</si>
  <si>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</si>
  <si>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</si>
  <si>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</si>
  <si>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</si>
  <si>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</si>
  <si>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</si>
  <si>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</si>
  <si>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</si>
  <si>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</si>
  <si>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</si>
  <si>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</si>
  <si>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</si>
  <si>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</si>
  <si>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</si>
  <si>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</si>
  <si>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</si>
  <si>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</si>
  <si>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</si>
  <si>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</si>
  <si>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</si>
  <si>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</si>
  <si>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</si>
  <si>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</si>
  <si>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</si>
  <si>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</si>
  <si>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</si>
  <si>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</si>
  <si>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</si>
  <si>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</si>
  <si>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</si>
  <si>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</si>
  <si>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</si>
  <si>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</si>
  <si>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</si>
  <si>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</si>
  <si>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</si>
  <si>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</si>
  <si>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</si>
  <si>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</si>
  <si>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</si>
  <si>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</si>
  <si>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</si>
  <si>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</si>
  <si>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</si>
  <si>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</si>
  <si>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</si>
  <si>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</si>
  <si>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</si>
  <si>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</si>
  <si>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</si>
  <si>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</si>
  <si>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</si>
  <si>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</si>
  <si>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</si>
  <si>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</si>
  <si>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</si>
  <si>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</si>
  <si>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</si>
  <si>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</si>
  <si>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</si>
  <si>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</si>
  <si>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</si>
  <si>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</si>
  <si>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</si>
  <si>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</si>
  <si>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</si>
  <si>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</si>
  <si>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</si>
  <si>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</si>
  <si>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</si>
  <si>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</si>
  <si>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</si>
  <si>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</si>
  <si>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</si>
  <si>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</si>
  <si>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</si>
  <si>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</si>
  <si>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</si>
  <si>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</si>
  <si>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</si>
  <si>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</si>
  <si>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</si>
  <si>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</si>
  <si>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</si>
  <si>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</si>
  <si>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</si>
  <si>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</si>
  <si>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</si>
  <si>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</si>
  <si>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</si>
  <si>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</si>
  <si>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</si>
  <si>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</si>
  <si>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</si>
  <si>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</si>
  <si>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</si>
  <si>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</si>
  <si>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</si>
  <si>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</si>
  <si>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</si>
  <si>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</si>
  <si>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</si>
  <si>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</si>
  <si>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</si>
  <si>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</si>
  <si>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</si>
  <si>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</si>
  <si>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</si>
  <si>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</si>
  <si>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</si>
  <si>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</si>
  <si>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</si>
  <si>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№4"</t>
  </si>
  <si>
    <t>Управление образования администрации муниципального образования город Алексин, МБДОУ "ЦРР - детский сад №4"</t>
  </si>
  <si>
    <t>Организация проведения предметных олимпиад, конкурсов, ярмарок и прочих мероприятий</t>
  </si>
  <si>
    <t>Предоставление мер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</si>
  <si>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Осуществлены меры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</si>
  <si>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Созданы условия для организации проведения независимой оценки качества условий оказания услуг организациями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</si>
  <si>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смесителей; модернизация АПС 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</si>
  <si>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помещений, системы электроснабжения;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</si>
  <si>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оснащение ППЭ камерами видеонаблюдения;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</si>
  <si>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спортзале, ремонт спортивной площадки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</si>
  <si>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пищеблока,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</si>
  <si>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приобретение оборудования для учебного предмета "Труд", ремонт внутренних помещений,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</si>
  <si>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Дополнительное финансовое обеспечение мероприятий по организации питания обучающихся 1 - 4 классов, получающих начальное общее образование в муниципальных общеобразовательных учреждениях муниципального образования город Алексин</t>
  </si>
  <si>
    <t>Дополнительное финансовое обеспечение мероприятий по организации питания обучающихся 5 классов и детей из многодетных и приемных семей, имеющих трех и более детей, из числа обучающихся 6 - 11 классов</t>
  </si>
  <si>
    <t>904 0702 01 4 02 28840</t>
  </si>
  <si>
    <t>904 0702 01 4 02 28850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</si>
  <si>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кап.ремонта, ремонт калитки; ремонт инженерных систем, опиловка деревьев; модернизация АПС (+аварийое освещение) муниципального бюджетного дошкольного образовательного учреждения "Детский сад комбинированного вида №26")</t>
  </si>
  <si>
    <t>904 070X 01 4 05 28210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</si>
  <si>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систем, замена котла отопления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</si>
  <si>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ремонт системы электроснабжения,  приобретение материалов и комплектующих для создания инсталляции посвещенной ВОВ,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</si>
  <si>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 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</si>
  <si>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Осуществление мероприятия по развитию инфраструктуры и благоустройству территории организаций, планирующих осуществлять деятельность в сфере организации отдыха детей, источником финансового обеспечения которых являются бюджетные ассигнования резервного фонда Правительства Тульской области</t>
  </si>
  <si>
    <t>Выполнение в полном объеме  мероприятия по развитию инфраструктуры и благоустройству территории не менее одной организации отдыха детей. 
Включение по итогам реализации мероприятия не менее одной организации отдыха детей в реестр организаций отдыха детей и их оздоровления на территории Тульской области.
Организация смены продолжительностью не менее 21 календарного дня (начиная с 1 января 2026 года) в организациях, планирующих осуществлять деятельность в сфере организации отдыха детей</t>
  </si>
  <si>
    <t>Укрепление материально-технической базы муниципальных учреждений (замена оконных блоков + их ограждение,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ремонт лестничной клетки,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</si>
  <si>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904 0709 01 2 02 8300I</t>
  </si>
  <si>
    <t>904 070X 01 4 02 00590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</si>
  <si>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оснащение ППЭ камерами видеонаблюдения, ремонт спортзала, частичный ремонт кровли для муниципального бюджетного общеобразовательного учреждения "Гимназия № 18")</t>
  </si>
  <si>
    <t>Региональный проект «Создание условий для обучения, отдыха и оздоровления детей и молодежи»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</si>
  <si>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люка на лестничном марше, замена оконных блоков, снегодержателей на кровле, модернизация АПС + оборудование аварийным освещением, строительство контура заземления, ремонт инженерных систем;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</si>
  <si>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(приобретение мебели; ремонт внутренних помещений, инжеренрных систем;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</si>
  <si>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котельной, ремонт потолка спортзала;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</si>
  <si>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(укрепление стены здания, ремонт потолков; ремонт инженерных систем муниципального бюджетного дошкольного образовательного учреждения "Центр развития ребенка - детский сад №15")</t>
  </si>
  <si>
    <t>Укрепление материально-технической базы муниципальных учреждений (замена оконных и дверных блоков, котлов отопления; устройство спортплощадки;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</si>
  <si>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помещений, кровли, замена дверных и оконных блоков, ремонт инженерных систем;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</si>
  <si>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оклейка окон зашитной пленкой</t>
  </si>
  <si>
    <t>Управление образования администрации муниципального образования город Алексин, муниципальные образовательные организации</t>
  </si>
  <si>
    <t>904 0701 01 4 01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</si>
  <si>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отмостки для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</t>
  </si>
  <si>
    <t xml:space="preserve">Заместитель начальника Управления образования </t>
  </si>
  <si>
    <t>О.В. Митина</t>
  </si>
  <si>
    <t>№ 136-д от «23»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</si>
</sst>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/>
    </xf>
    <xf numFmtId="4" fontId="8" fillId="0" borderId="0" xfId="0" applyNumberFormat="1" applyFont="1"/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2"/>
  <sheetViews>
    <sheetView tabSelected="1"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9" width="16.5703125" style="7" customWidth="1"/>
    <col min="10" max="10" width="15" style="7" customWidth="1"/>
    <col min="11" max="11" width="33" style="7" customWidth="1"/>
    <col min="12" max="15" width="20.5703125" style="4" customWidth="1"/>
    <col min="16" max="16" width="20.5703125" customWidth="1"/>
  </cols>
  <sheetData>
    <row r="1" spans="1:11" x14ac:dyDescent="0.25">
      <c r="J1" s="34" t="s">
        <v>150</v>
      </c>
    </row>
    <row r="2" spans="1:11" x14ac:dyDescent="0.25">
      <c r="J2" s="34" t="s">
        <v>17</v>
      </c>
    </row>
    <row r="3" spans="1:11" x14ac:dyDescent="0.25">
      <c r="J3" s="34" t="s">
        <v>18</v>
      </c>
    </row>
    <row r="4" spans="1:11" x14ac:dyDescent="0.25">
      <c r="J4" s="3" t="s">
        <v>363</v>
      </c>
    </row>
    <row r="5" spans="1:11" hidden="1" x14ac:dyDescent="0.25">
      <c r="J5" s="3" t="s">
        <v>19</v>
      </c>
    </row>
    <row r="6" spans="1:11" x14ac:dyDescent="0.25">
      <c r="J6" s="3"/>
    </row>
    <row r="7" spans="1:11" x14ac:dyDescent="0.25">
      <c r="J7" s="34" t="s">
        <v>150</v>
      </c>
    </row>
    <row r="8" spans="1:11" x14ac:dyDescent="0.25">
      <c r="J8" s="34" t="s">
        <v>17</v>
      </c>
    </row>
    <row r="9" spans="1:11" x14ac:dyDescent="0.25">
      <c r="J9" s="34" t="s">
        <v>18</v>
      </c>
    </row>
    <row r="10" spans="1:11" x14ac:dyDescent="0.25">
      <c r="J10" s="3" t="s">
        <v>318</v>
      </c>
    </row>
    <row r="12" spans="1:11" ht="15.75" x14ac:dyDescent="0.25">
      <c r="A12" s="61" t="s">
        <v>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5.75" x14ac:dyDescent="0.25">
      <c r="A13" s="62" t="s">
        <v>317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14.75" customHeight="1" x14ac:dyDescent="0.25">
      <c r="A14" s="63"/>
      <c r="B14" s="63" t="s">
        <v>1</v>
      </c>
      <c r="C14" s="63" t="s">
        <v>11</v>
      </c>
      <c r="D14" s="63"/>
      <c r="E14" s="64" t="s">
        <v>12</v>
      </c>
      <c r="F14" s="64" t="s">
        <v>92</v>
      </c>
      <c r="G14" s="63" t="s">
        <v>13</v>
      </c>
      <c r="H14" s="63"/>
      <c r="I14" s="63"/>
      <c r="J14" s="63"/>
      <c r="K14" s="63" t="s">
        <v>14</v>
      </c>
    </row>
    <row r="15" spans="1:11" ht="25.5" x14ac:dyDescent="0.25">
      <c r="A15" s="63"/>
      <c r="B15" s="63"/>
      <c r="C15" s="47" t="s">
        <v>15</v>
      </c>
      <c r="D15" s="47" t="s">
        <v>16</v>
      </c>
      <c r="E15" s="65"/>
      <c r="F15" s="65"/>
      <c r="G15" s="47">
        <v>2024</v>
      </c>
      <c r="H15" s="47">
        <v>2025</v>
      </c>
      <c r="I15" s="47">
        <v>2026</v>
      </c>
      <c r="J15" s="47">
        <v>2027</v>
      </c>
      <c r="K15" s="63"/>
    </row>
    <row r="16" spans="1:11" x14ac:dyDescent="0.25">
      <c r="A16" s="47">
        <v>1</v>
      </c>
      <c r="B16" s="47">
        <v>2</v>
      </c>
      <c r="C16" s="47">
        <v>3</v>
      </c>
      <c r="D16" s="47">
        <v>4</v>
      </c>
      <c r="E16" s="47">
        <v>5</v>
      </c>
      <c r="F16" s="47">
        <v>6</v>
      </c>
      <c r="G16" s="47">
        <v>7</v>
      </c>
      <c r="H16" s="47">
        <v>8</v>
      </c>
      <c r="I16" s="47"/>
      <c r="J16" s="47">
        <v>9</v>
      </c>
      <c r="K16" s="47">
        <v>10</v>
      </c>
    </row>
    <row r="17" spans="1:16" x14ac:dyDescent="0.25">
      <c r="A17" s="53" t="s">
        <v>126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6" ht="24" customHeight="1" x14ac:dyDescent="0.25">
      <c r="A18" s="50" t="s">
        <v>128</v>
      </c>
      <c r="B18" s="50" t="s">
        <v>129</v>
      </c>
      <c r="C18" s="48">
        <v>45292</v>
      </c>
      <c r="D18" s="48">
        <v>45657</v>
      </c>
      <c r="E18" s="44" t="s">
        <v>5</v>
      </c>
      <c r="F18" s="47" t="s">
        <v>132</v>
      </c>
      <c r="G18" s="2">
        <f>SUM(G19:G22)</f>
        <v>1651902.1099999999</v>
      </c>
      <c r="H18" s="2">
        <f t="shared" ref="H18:J18" si="0">SUM(H19:H22)</f>
        <v>0</v>
      </c>
      <c r="I18" s="2">
        <v>0</v>
      </c>
      <c r="J18" s="2">
        <f t="shared" si="0"/>
        <v>0</v>
      </c>
      <c r="K18" s="49" t="s">
        <v>104</v>
      </c>
      <c r="P18" s="4"/>
    </row>
    <row r="19" spans="1:16" ht="24" customHeight="1" x14ac:dyDescent="0.25">
      <c r="A19" s="50"/>
      <c r="B19" s="50"/>
      <c r="C19" s="48"/>
      <c r="D19" s="48"/>
      <c r="E19" s="44" t="s">
        <v>7</v>
      </c>
      <c r="F19" s="47" t="s">
        <v>8</v>
      </c>
      <c r="G19" s="2">
        <v>0</v>
      </c>
      <c r="H19" s="2">
        <v>0</v>
      </c>
      <c r="I19" s="2">
        <v>0</v>
      </c>
      <c r="J19" s="2">
        <v>0</v>
      </c>
      <c r="K19" s="49"/>
      <c r="P19" s="4"/>
    </row>
    <row r="20" spans="1:16" ht="24" customHeight="1" x14ac:dyDescent="0.25">
      <c r="A20" s="50"/>
      <c r="B20" s="50"/>
      <c r="C20" s="48"/>
      <c r="D20" s="48"/>
      <c r="E20" s="44" t="s">
        <v>9</v>
      </c>
      <c r="F20" s="47" t="s">
        <v>8</v>
      </c>
      <c r="G20" s="2">
        <v>991141.27</v>
      </c>
      <c r="H20" s="2">
        <v>0</v>
      </c>
      <c r="I20" s="2">
        <v>0</v>
      </c>
      <c r="J20" s="2">
        <v>0</v>
      </c>
      <c r="K20" s="49"/>
      <c r="P20" s="4"/>
    </row>
    <row r="21" spans="1:16" ht="24" customHeight="1" x14ac:dyDescent="0.25">
      <c r="A21" s="50"/>
      <c r="B21" s="50"/>
      <c r="C21" s="48"/>
      <c r="D21" s="48"/>
      <c r="E21" s="44" t="s">
        <v>10</v>
      </c>
      <c r="F21" s="47" t="s">
        <v>8</v>
      </c>
      <c r="G21" s="2">
        <v>495570.63</v>
      </c>
      <c r="H21" s="2">
        <v>0</v>
      </c>
      <c r="I21" s="2">
        <v>0</v>
      </c>
      <c r="J21" s="2">
        <v>0</v>
      </c>
      <c r="K21" s="49"/>
      <c r="P21" s="4"/>
    </row>
    <row r="22" spans="1:16" ht="45" customHeight="1" x14ac:dyDescent="0.25">
      <c r="A22" s="50"/>
      <c r="B22" s="50"/>
      <c r="C22" s="48"/>
      <c r="D22" s="48"/>
      <c r="E22" s="44" t="s">
        <v>127</v>
      </c>
      <c r="F22" s="47" t="s">
        <v>8</v>
      </c>
      <c r="G22" s="2">
        <v>165190.21</v>
      </c>
      <c r="H22" s="2">
        <v>0</v>
      </c>
      <c r="I22" s="2">
        <v>0</v>
      </c>
      <c r="J22" s="2">
        <v>0</v>
      </c>
      <c r="K22" s="49"/>
      <c r="P22" s="4"/>
    </row>
    <row r="23" spans="1:16" ht="25.5" customHeight="1" x14ac:dyDescent="0.25">
      <c r="A23" s="50" t="s">
        <v>130</v>
      </c>
      <c r="B23" s="50" t="s">
        <v>131</v>
      </c>
      <c r="C23" s="48">
        <v>45292</v>
      </c>
      <c r="D23" s="48">
        <v>45657</v>
      </c>
      <c r="E23" s="44" t="s">
        <v>5</v>
      </c>
      <c r="F23" s="47" t="s">
        <v>132</v>
      </c>
      <c r="G23" s="2">
        <f>SUM(G24:G27)</f>
        <v>547789.06000000006</v>
      </c>
      <c r="H23" s="2">
        <f t="shared" ref="H23:J23" si="1">SUM(H24:H27)</f>
        <v>0</v>
      </c>
      <c r="I23" s="2">
        <v>0</v>
      </c>
      <c r="J23" s="2">
        <f t="shared" si="1"/>
        <v>0</v>
      </c>
      <c r="K23" s="49" t="s">
        <v>104</v>
      </c>
    </row>
    <row r="24" spans="1:16" ht="25.5" customHeight="1" x14ac:dyDescent="0.25">
      <c r="A24" s="50"/>
      <c r="B24" s="50"/>
      <c r="C24" s="48"/>
      <c r="D24" s="48"/>
      <c r="E24" s="44" t="s">
        <v>7</v>
      </c>
      <c r="F24" s="47" t="s">
        <v>8</v>
      </c>
      <c r="G24" s="2">
        <v>0</v>
      </c>
      <c r="H24" s="2">
        <v>0</v>
      </c>
      <c r="I24" s="2">
        <v>0</v>
      </c>
      <c r="J24" s="2">
        <v>0</v>
      </c>
      <c r="K24" s="49"/>
    </row>
    <row r="25" spans="1:16" ht="25.5" customHeight="1" x14ac:dyDescent="0.25">
      <c r="A25" s="50"/>
      <c r="B25" s="50"/>
      <c r="C25" s="48"/>
      <c r="D25" s="48"/>
      <c r="E25" s="44" t="s">
        <v>9</v>
      </c>
      <c r="F25" s="47" t="s">
        <v>8</v>
      </c>
      <c r="G25" s="2">
        <f>409164.53-88566.09-19314.46</f>
        <v>301283.98000000004</v>
      </c>
      <c r="H25" s="2">
        <v>0</v>
      </c>
      <c r="I25" s="2">
        <v>0</v>
      </c>
      <c r="J25" s="2">
        <v>0</v>
      </c>
      <c r="K25" s="49"/>
    </row>
    <row r="26" spans="1:16" ht="25.5" customHeight="1" x14ac:dyDescent="0.25">
      <c r="A26" s="50"/>
      <c r="B26" s="50"/>
      <c r="C26" s="48"/>
      <c r="D26" s="48"/>
      <c r="E26" s="44" t="s">
        <v>10</v>
      </c>
      <c r="F26" s="47" t="s">
        <v>8</v>
      </c>
      <c r="G26" s="2">
        <f>223180.65-58843.93</f>
        <v>164336.72</v>
      </c>
      <c r="H26" s="2">
        <v>0</v>
      </c>
      <c r="I26" s="2">
        <v>0</v>
      </c>
      <c r="J26" s="2">
        <v>0</v>
      </c>
      <c r="K26" s="49"/>
    </row>
    <row r="27" spans="1:16" ht="39.75" customHeight="1" x14ac:dyDescent="0.25">
      <c r="A27" s="50"/>
      <c r="B27" s="50"/>
      <c r="C27" s="48"/>
      <c r="D27" s="48"/>
      <c r="E27" s="44" t="s">
        <v>127</v>
      </c>
      <c r="F27" s="47" t="s">
        <v>8</v>
      </c>
      <c r="G27" s="2">
        <f>111590.33-29421.97</f>
        <v>82168.36</v>
      </c>
      <c r="H27" s="2">
        <v>0</v>
      </c>
      <c r="I27" s="2">
        <v>0</v>
      </c>
      <c r="J27" s="2">
        <v>0</v>
      </c>
      <c r="K27" s="49"/>
    </row>
    <row r="28" spans="1:16" ht="39.75" customHeight="1" x14ac:dyDescent="0.25">
      <c r="A28" s="50" t="s">
        <v>241</v>
      </c>
      <c r="B28" s="50" t="s">
        <v>242</v>
      </c>
      <c r="C28" s="48">
        <v>45658</v>
      </c>
      <c r="D28" s="48">
        <v>46022</v>
      </c>
      <c r="E28" s="44" t="s">
        <v>5</v>
      </c>
      <c r="F28" s="47" t="s">
        <v>240</v>
      </c>
      <c r="G28" s="2">
        <f t="shared" ref="G28:I28" si="2">SUM(G29:G32)</f>
        <v>0</v>
      </c>
      <c r="H28" s="2">
        <f t="shared" si="2"/>
        <v>4510526.8100000005</v>
      </c>
      <c r="I28" s="2">
        <f t="shared" si="2"/>
        <v>0</v>
      </c>
      <c r="J28" s="2">
        <f t="shared" ref="J28" si="3">SUM(J29:J32)</f>
        <v>0</v>
      </c>
      <c r="K28" s="49" t="s">
        <v>104</v>
      </c>
    </row>
    <row r="29" spans="1:16" ht="39.75" customHeight="1" x14ac:dyDescent="0.25">
      <c r="A29" s="50"/>
      <c r="B29" s="50"/>
      <c r="C29" s="48"/>
      <c r="D29" s="48"/>
      <c r="E29" s="44" t="s">
        <v>7</v>
      </c>
      <c r="F29" s="47" t="s">
        <v>8</v>
      </c>
      <c r="G29" s="2">
        <v>0</v>
      </c>
      <c r="H29" s="2">
        <v>0</v>
      </c>
      <c r="I29" s="2">
        <v>0</v>
      </c>
      <c r="J29" s="2">
        <v>0</v>
      </c>
      <c r="K29" s="49"/>
    </row>
    <row r="30" spans="1:16" ht="39.75" customHeight="1" x14ac:dyDescent="0.25">
      <c r="A30" s="50"/>
      <c r="B30" s="50"/>
      <c r="C30" s="48"/>
      <c r="D30" s="48"/>
      <c r="E30" s="44" t="s">
        <v>9</v>
      </c>
      <c r="F30" s="47" t="s">
        <v>8</v>
      </c>
      <c r="G30" s="2">
        <v>0</v>
      </c>
      <c r="H30" s="2">
        <v>2480789.75</v>
      </c>
      <c r="I30" s="2">
        <v>0</v>
      </c>
      <c r="J30" s="2">
        <v>0</v>
      </c>
      <c r="K30" s="49"/>
    </row>
    <row r="31" spans="1:16" ht="39.75" customHeight="1" x14ac:dyDescent="0.25">
      <c r="A31" s="50"/>
      <c r="B31" s="50"/>
      <c r="C31" s="48"/>
      <c r="D31" s="48"/>
      <c r="E31" s="44" t="s">
        <v>10</v>
      </c>
      <c r="F31" s="47" t="s">
        <v>8</v>
      </c>
      <c r="G31" s="2">
        <v>0</v>
      </c>
      <c r="H31" s="2">
        <v>1353158.04</v>
      </c>
      <c r="I31" s="2">
        <v>0</v>
      </c>
      <c r="J31" s="2">
        <v>0</v>
      </c>
      <c r="K31" s="49"/>
    </row>
    <row r="32" spans="1:16" ht="39.75" customHeight="1" x14ac:dyDescent="0.25">
      <c r="A32" s="50"/>
      <c r="B32" s="50"/>
      <c r="C32" s="48"/>
      <c r="D32" s="48"/>
      <c r="E32" s="44" t="s">
        <v>127</v>
      </c>
      <c r="F32" s="47" t="s">
        <v>8</v>
      </c>
      <c r="G32" s="2">
        <v>0</v>
      </c>
      <c r="H32" s="2">
        <v>676579.02</v>
      </c>
      <c r="I32" s="2">
        <v>0</v>
      </c>
      <c r="J32" s="2">
        <v>0</v>
      </c>
      <c r="K32" s="49"/>
    </row>
    <row r="33" spans="1:11" ht="39.75" customHeight="1" x14ac:dyDescent="0.25">
      <c r="A33" s="50" t="s">
        <v>243</v>
      </c>
      <c r="B33" s="50" t="s">
        <v>244</v>
      </c>
      <c r="C33" s="48">
        <v>45658</v>
      </c>
      <c r="D33" s="48">
        <v>46022</v>
      </c>
      <c r="E33" s="44" t="s">
        <v>5</v>
      </c>
      <c r="F33" s="47" t="s">
        <v>240</v>
      </c>
      <c r="G33" s="2">
        <f t="shared" ref="G33:I33" si="4">SUM(G34:G37)</f>
        <v>0</v>
      </c>
      <c r="H33" s="2">
        <f t="shared" si="4"/>
        <v>4021349.59</v>
      </c>
      <c r="I33" s="2">
        <f t="shared" si="4"/>
        <v>0</v>
      </c>
      <c r="J33" s="2">
        <f t="shared" ref="J33" si="5">SUM(J34:J37)</f>
        <v>0</v>
      </c>
      <c r="K33" s="49" t="s">
        <v>104</v>
      </c>
    </row>
    <row r="34" spans="1:11" ht="39.75" customHeight="1" x14ac:dyDescent="0.25">
      <c r="A34" s="50"/>
      <c r="B34" s="50"/>
      <c r="C34" s="48"/>
      <c r="D34" s="48"/>
      <c r="E34" s="44" t="s">
        <v>7</v>
      </c>
      <c r="F34" s="47" t="s">
        <v>8</v>
      </c>
      <c r="G34" s="2">
        <v>0</v>
      </c>
      <c r="H34" s="2">
        <v>0</v>
      </c>
      <c r="I34" s="2">
        <v>0</v>
      </c>
      <c r="J34" s="2">
        <v>0</v>
      </c>
      <c r="K34" s="49"/>
    </row>
    <row r="35" spans="1:11" ht="39.75" customHeight="1" x14ac:dyDescent="0.25">
      <c r="A35" s="50"/>
      <c r="B35" s="50"/>
      <c r="C35" s="48"/>
      <c r="D35" s="48"/>
      <c r="E35" s="44" t="s">
        <v>9</v>
      </c>
      <c r="F35" s="47" t="s">
        <v>8</v>
      </c>
      <c r="G35" s="2">
        <v>0</v>
      </c>
      <c r="H35" s="2">
        <v>2613877.23</v>
      </c>
      <c r="I35" s="2">
        <v>0</v>
      </c>
      <c r="J35" s="2">
        <v>0</v>
      </c>
      <c r="K35" s="49"/>
    </row>
    <row r="36" spans="1:11" ht="39.75" customHeight="1" x14ac:dyDescent="0.25">
      <c r="A36" s="50"/>
      <c r="B36" s="50"/>
      <c r="C36" s="48"/>
      <c r="D36" s="48"/>
      <c r="E36" s="44" t="s">
        <v>10</v>
      </c>
      <c r="F36" s="47" t="s">
        <v>8</v>
      </c>
      <c r="G36" s="2">
        <v>0</v>
      </c>
      <c r="H36" s="2">
        <v>1206404.8799999999</v>
      </c>
      <c r="I36" s="2">
        <v>0</v>
      </c>
      <c r="J36" s="2">
        <v>0</v>
      </c>
      <c r="K36" s="49"/>
    </row>
    <row r="37" spans="1:11" ht="39.75" customHeight="1" x14ac:dyDescent="0.25">
      <c r="A37" s="50"/>
      <c r="B37" s="50"/>
      <c r="C37" s="48"/>
      <c r="D37" s="48"/>
      <c r="E37" s="44" t="s">
        <v>127</v>
      </c>
      <c r="F37" s="47" t="s">
        <v>8</v>
      </c>
      <c r="G37" s="2">
        <v>0</v>
      </c>
      <c r="H37" s="2">
        <v>201067.48</v>
      </c>
      <c r="I37" s="2">
        <v>0</v>
      </c>
      <c r="J37" s="2">
        <v>0</v>
      </c>
      <c r="K37" s="49"/>
    </row>
    <row r="38" spans="1:11" ht="39.75" customHeight="1" x14ac:dyDescent="0.25">
      <c r="A38" s="50" t="s">
        <v>245</v>
      </c>
      <c r="B38" s="50" t="s">
        <v>246</v>
      </c>
      <c r="C38" s="48">
        <v>45658</v>
      </c>
      <c r="D38" s="48">
        <v>46022</v>
      </c>
      <c r="E38" s="44" t="s">
        <v>5</v>
      </c>
      <c r="F38" s="47" t="s">
        <v>240</v>
      </c>
      <c r="G38" s="2">
        <f t="shared" ref="G38:I38" si="6">SUM(G39:G42)</f>
        <v>0</v>
      </c>
      <c r="H38" s="2">
        <f t="shared" si="6"/>
        <v>5053019.87</v>
      </c>
      <c r="I38" s="2">
        <f t="shared" si="6"/>
        <v>0</v>
      </c>
      <c r="J38" s="2">
        <f t="shared" ref="J38" si="7">SUM(J39:J42)</f>
        <v>0</v>
      </c>
      <c r="K38" s="49" t="s">
        <v>104</v>
      </c>
    </row>
    <row r="39" spans="1:11" ht="39.75" customHeight="1" x14ac:dyDescent="0.25">
      <c r="A39" s="50"/>
      <c r="B39" s="50"/>
      <c r="C39" s="48"/>
      <c r="D39" s="48"/>
      <c r="E39" s="44" t="s">
        <v>7</v>
      </c>
      <c r="F39" s="47" t="s">
        <v>8</v>
      </c>
      <c r="G39" s="2">
        <v>0</v>
      </c>
      <c r="H39" s="2">
        <v>0</v>
      </c>
      <c r="I39" s="2">
        <v>0</v>
      </c>
      <c r="J39" s="2">
        <v>0</v>
      </c>
      <c r="K39" s="49"/>
    </row>
    <row r="40" spans="1:11" ht="39.75" customHeight="1" x14ac:dyDescent="0.25">
      <c r="A40" s="50"/>
      <c r="B40" s="50"/>
      <c r="C40" s="48"/>
      <c r="D40" s="48"/>
      <c r="E40" s="44" t="s">
        <v>9</v>
      </c>
      <c r="F40" s="47" t="s">
        <v>8</v>
      </c>
      <c r="G40" s="2">
        <v>0</v>
      </c>
      <c r="H40" s="2">
        <v>3284462.92</v>
      </c>
      <c r="I40" s="2">
        <v>0</v>
      </c>
      <c r="J40" s="2">
        <v>0</v>
      </c>
      <c r="K40" s="49"/>
    </row>
    <row r="41" spans="1:11" ht="39.75" customHeight="1" x14ac:dyDescent="0.25">
      <c r="A41" s="50"/>
      <c r="B41" s="50"/>
      <c r="C41" s="48"/>
      <c r="D41" s="48"/>
      <c r="E41" s="44" t="s">
        <v>10</v>
      </c>
      <c r="F41" s="47" t="s">
        <v>8</v>
      </c>
      <c r="G41" s="2">
        <v>0</v>
      </c>
      <c r="H41" s="2">
        <v>1515905.96</v>
      </c>
      <c r="I41" s="2">
        <v>0</v>
      </c>
      <c r="J41" s="2">
        <v>0</v>
      </c>
      <c r="K41" s="49"/>
    </row>
    <row r="42" spans="1:11" ht="39.75" customHeight="1" x14ac:dyDescent="0.25">
      <c r="A42" s="50"/>
      <c r="B42" s="50"/>
      <c r="C42" s="48"/>
      <c r="D42" s="48"/>
      <c r="E42" s="44" t="s">
        <v>127</v>
      </c>
      <c r="F42" s="47" t="s">
        <v>8</v>
      </c>
      <c r="G42" s="2">
        <v>0</v>
      </c>
      <c r="H42" s="2">
        <v>252650.99</v>
      </c>
      <c r="I42" s="2">
        <v>0</v>
      </c>
      <c r="J42" s="2">
        <v>0</v>
      </c>
      <c r="K42" s="49"/>
    </row>
    <row r="43" spans="1:11" ht="39.75" customHeight="1" x14ac:dyDescent="0.25">
      <c r="A43" s="50" t="s">
        <v>247</v>
      </c>
      <c r="B43" s="50" t="s">
        <v>129</v>
      </c>
      <c r="C43" s="48">
        <v>45658</v>
      </c>
      <c r="D43" s="48">
        <v>46022</v>
      </c>
      <c r="E43" s="44" t="s">
        <v>5</v>
      </c>
      <c r="F43" s="47" t="s">
        <v>132</v>
      </c>
      <c r="G43" s="2">
        <f t="shared" ref="G43:I43" si="8">SUM(G44:G47)</f>
        <v>0</v>
      </c>
      <c r="H43" s="2">
        <f t="shared" si="8"/>
        <v>2174341.5099999998</v>
      </c>
      <c r="I43" s="2">
        <f t="shared" si="8"/>
        <v>0</v>
      </c>
      <c r="J43" s="2">
        <f t="shared" ref="J43" si="9">SUM(J44:J47)</f>
        <v>0</v>
      </c>
      <c r="K43" s="49" t="s">
        <v>104</v>
      </c>
    </row>
    <row r="44" spans="1:11" ht="39.75" customHeight="1" x14ac:dyDescent="0.25">
      <c r="A44" s="50"/>
      <c r="B44" s="50"/>
      <c r="C44" s="48"/>
      <c r="D44" s="48"/>
      <c r="E44" s="44" t="s">
        <v>7</v>
      </c>
      <c r="F44" s="47" t="s">
        <v>8</v>
      </c>
      <c r="G44" s="2">
        <v>0</v>
      </c>
      <c r="H44" s="2">
        <v>0</v>
      </c>
      <c r="I44" s="2">
        <v>0</v>
      </c>
      <c r="J44" s="2">
        <v>0</v>
      </c>
      <c r="K44" s="49"/>
    </row>
    <row r="45" spans="1:11" ht="39.75" customHeight="1" x14ac:dyDescent="0.25">
      <c r="A45" s="50"/>
      <c r="B45" s="50"/>
      <c r="C45" s="48"/>
      <c r="D45" s="48"/>
      <c r="E45" s="44" t="s">
        <v>9</v>
      </c>
      <c r="F45" s="47" t="s">
        <v>8</v>
      </c>
      <c r="G45" s="2">
        <v>0</v>
      </c>
      <c r="H45" s="2">
        <v>1304604.9099999999</v>
      </c>
      <c r="I45" s="2">
        <v>0</v>
      </c>
      <c r="J45" s="2">
        <v>0</v>
      </c>
      <c r="K45" s="49"/>
    </row>
    <row r="46" spans="1:11" ht="39.75" customHeight="1" x14ac:dyDescent="0.25">
      <c r="A46" s="50"/>
      <c r="B46" s="50"/>
      <c r="C46" s="48"/>
      <c r="D46" s="48"/>
      <c r="E46" s="44" t="s">
        <v>10</v>
      </c>
      <c r="F46" s="47" t="s">
        <v>8</v>
      </c>
      <c r="G46" s="2">
        <v>0</v>
      </c>
      <c r="H46" s="2">
        <v>652302.44999999995</v>
      </c>
      <c r="I46" s="2">
        <v>0</v>
      </c>
      <c r="J46" s="2">
        <v>0</v>
      </c>
      <c r="K46" s="49"/>
    </row>
    <row r="47" spans="1:11" ht="39.75" customHeight="1" x14ac:dyDescent="0.25">
      <c r="A47" s="50"/>
      <c r="B47" s="50"/>
      <c r="C47" s="48"/>
      <c r="D47" s="48"/>
      <c r="E47" s="44" t="s">
        <v>127</v>
      </c>
      <c r="F47" s="47" t="s">
        <v>8</v>
      </c>
      <c r="G47" s="2">
        <v>0</v>
      </c>
      <c r="H47" s="2">
        <v>217434.15</v>
      </c>
      <c r="I47" s="2">
        <v>0</v>
      </c>
      <c r="J47" s="2">
        <v>0</v>
      </c>
      <c r="K47" s="49"/>
    </row>
    <row r="48" spans="1:11" x14ac:dyDescent="0.25">
      <c r="A48" s="53" t="s">
        <v>21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6" ht="33.75" customHeight="1" x14ac:dyDescent="0.25">
      <c r="A49" s="50" t="s">
        <v>91</v>
      </c>
      <c r="B49" s="50" t="s">
        <v>4</v>
      </c>
      <c r="C49" s="48">
        <v>45292</v>
      </c>
      <c r="D49" s="48">
        <v>45657</v>
      </c>
      <c r="E49" s="44" t="s">
        <v>5</v>
      </c>
      <c r="F49" s="47" t="s">
        <v>133</v>
      </c>
      <c r="G49" s="2">
        <f>SUM(G50:G52)</f>
        <v>2264402.1</v>
      </c>
      <c r="H49" s="2">
        <f t="shared" ref="H49:J49" si="10">SUM(H50:H52)</f>
        <v>0</v>
      </c>
      <c r="I49" s="2">
        <f t="shared" ref="I49" si="11">SUM(I50:I52)</f>
        <v>0</v>
      </c>
      <c r="J49" s="2">
        <f t="shared" si="10"/>
        <v>0</v>
      </c>
      <c r="K49" s="49" t="s">
        <v>78</v>
      </c>
      <c r="P49" s="4"/>
    </row>
    <row r="50" spans="1:16" ht="33.75" customHeight="1" x14ac:dyDescent="0.25">
      <c r="A50" s="50"/>
      <c r="B50" s="50"/>
      <c r="C50" s="48"/>
      <c r="D50" s="48"/>
      <c r="E50" s="44" t="s">
        <v>7</v>
      </c>
      <c r="F50" s="47" t="s">
        <v>8</v>
      </c>
      <c r="G50" s="2">
        <f>2152086.96</f>
        <v>2152086.96</v>
      </c>
      <c r="H50" s="2">
        <v>0</v>
      </c>
      <c r="I50" s="2">
        <v>0</v>
      </c>
      <c r="J50" s="2">
        <v>0</v>
      </c>
      <c r="K50" s="49"/>
      <c r="P50" s="4"/>
    </row>
    <row r="51" spans="1:16" ht="33.75" customHeight="1" x14ac:dyDescent="0.25">
      <c r="A51" s="50"/>
      <c r="B51" s="50"/>
      <c r="C51" s="48"/>
      <c r="D51" s="48"/>
      <c r="E51" s="44" t="s">
        <v>9</v>
      </c>
      <c r="F51" s="47" t="s">
        <v>8</v>
      </c>
      <c r="G51" s="2">
        <f>89671.1</f>
        <v>89671.1</v>
      </c>
      <c r="H51" s="2">
        <v>0</v>
      </c>
      <c r="I51" s="2">
        <v>0</v>
      </c>
      <c r="J51" s="2">
        <v>0</v>
      </c>
      <c r="K51" s="49"/>
      <c r="P51" s="4"/>
    </row>
    <row r="52" spans="1:16" ht="33.75" customHeight="1" x14ac:dyDescent="0.25">
      <c r="A52" s="50"/>
      <c r="B52" s="50"/>
      <c r="C52" s="48"/>
      <c r="D52" s="48"/>
      <c r="E52" s="44" t="s">
        <v>10</v>
      </c>
      <c r="F52" s="47" t="s">
        <v>8</v>
      </c>
      <c r="G52" s="2">
        <f>22644.04</f>
        <v>22644.04</v>
      </c>
      <c r="H52" s="2">
        <v>0</v>
      </c>
      <c r="I52" s="2">
        <v>0</v>
      </c>
      <c r="J52" s="2">
        <v>0</v>
      </c>
      <c r="K52" s="49"/>
      <c r="P52" s="4"/>
    </row>
    <row r="53" spans="1:16" x14ac:dyDescent="0.25">
      <c r="A53" s="53" t="s">
        <v>22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6" ht="24.75" customHeight="1" x14ac:dyDescent="0.25">
      <c r="A54" s="50" t="s">
        <v>93</v>
      </c>
      <c r="B54" s="50" t="s">
        <v>4</v>
      </c>
      <c r="C54" s="48">
        <v>45292</v>
      </c>
      <c r="D54" s="48">
        <v>45657</v>
      </c>
      <c r="E54" s="44" t="s">
        <v>5</v>
      </c>
      <c r="F54" s="47" t="s">
        <v>134</v>
      </c>
      <c r="G54" s="2">
        <f>SUM(G55:G57)</f>
        <v>10728912.640000001</v>
      </c>
      <c r="H54" s="2">
        <f t="shared" ref="H54:I54" si="12">SUM(H55:H57)</f>
        <v>0</v>
      </c>
      <c r="I54" s="2">
        <f t="shared" si="12"/>
        <v>0</v>
      </c>
      <c r="J54" s="2">
        <f t="shared" ref="J54" si="13">SUM(J55:J57)</f>
        <v>0</v>
      </c>
      <c r="K54" s="49" t="s">
        <v>79</v>
      </c>
      <c r="P54" s="4"/>
    </row>
    <row r="55" spans="1:16" ht="24.75" customHeight="1" x14ac:dyDescent="0.25">
      <c r="A55" s="50"/>
      <c r="B55" s="50"/>
      <c r="C55" s="48"/>
      <c r="D55" s="48"/>
      <c r="E55" s="44" t="s">
        <v>7</v>
      </c>
      <c r="F55" s="47" t="s">
        <v>8</v>
      </c>
      <c r="G55" s="8">
        <f>10196751.66</f>
        <v>10196751.66</v>
      </c>
      <c r="H55" s="2">
        <v>0</v>
      </c>
      <c r="I55" s="2">
        <v>0</v>
      </c>
      <c r="J55" s="2">
        <v>0</v>
      </c>
      <c r="K55" s="49"/>
      <c r="P55" s="4"/>
    </row>
    <row r="56" spans="1:16" ht="24.75" customHeight="1" x14ac:dyDescent="0.25">
      <c r="A56" s="50"/>
      <c r="B56" s="50"/>
      <c r="C56" s="48"/>
      <c r="D56" s="48"/>
      <c r="E56" s="44" t="s">
        <v>9</v>
      </c>
      <c r="F56" s="47" t="s">
        <v>8</v>
      </c>
      <c r="G56" s="8">
        <f>424871.85</f>
        <v>424871.85</v>
      </c>
      <c r="H56" s="2">
        <v>0</v>
      </c>
      <c r="I56" s="2">
        <v>0</v>
      </c>
      <c r="J56" s="2">
        <v>0</v>
      </c>
      <c r="K56" s="49"/>
      <c r="P56" s="4"/>
    </row>
    <row r="57" spans="1:16" ht="16.5" customHeight="1" x14ac:dyDescent="0.25">
      <c r="A57" s="50"/>
      <c r="B57" s="50"/>
      <c r="C57" s="48"/>
      <c r="D57" s="48"/>
      <c r="E57" s="44" t="s">
        <v>10</v>
      </c>
      <c r="F57" s="47" t="s">
        <v>8</v>
      </c>
      <c r="G57" s="8">
        <f>107289.13</f>
        <v>107289.13</v>
      </c>
      <c r="H57" s="2">
        <v>0</v>
      </c>
      <c r="I57" s="2">
        <v>0</v>
      </c>
      <c r="J57" s="2">
        <v>0</v>
      </c>
      <c r="K57" s="49"/>
      <c r="P57" s="4"/>
    </row>
    <row r="58" spans="1:16" ht="16.5" customHeight="1" x14ac:dyDescent="0.25">
      <c r="A58" s="53" t="s">
        <v>95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6" ht="24" customHeight="1" x14ac:dyDescent="0.25">
      <c r="A59" s="50" t="s">
        <v>94</v>
      </c>
      <c r="B59" s="50" t="s">
        <v>4</v>
      </c>
      <c r="C59" s="48">
        <v>45292</v>
      </c>
      <c r="D59" s="48">
        <v>46387</v>
      </c>
      <c r="E59" s="44" t="s">
        <v>5</v>
      </c>
      <c r="F59" s="47" t="s">
        <v>135</v>
      </c>
      <c r="G59" s="2">
        <f>SUM(G60:G62)</f>
        <v>4719292.6900000004</v>
      </c>
      <c r="H59" s="2">
        <f t="shared" ref="H59:J59" si="14">SUM(H60:H62)</f>
        <v>0</v>
      </c>
      <c r="I59" s="2">
        <f t="shared" si="14"/>
        <v>0</v>
      </c>
      <c r="J59" s="2">
        <f t="shared" si="14"/>
        <v>0</v>
      </c>
      <c r="K59" s="49" t="s">
        <v>96</v>
      </c>
      <c r="P59" s="4"/>
    </row>
    <row r="60" spans="1:16" ht="26.25" customHeight="1" x14ac:dyDescent="0.25">
      <c r="A60" s="50"/>
      <c r="B60" s="50"/>
      <c r="C60" s="48"/>
      <c r="D60" s="48"/>
      <c r="E60" s="44" t="s">
        <v>7</v>
      </c>
      <c r="F60" s="47" t="s">
        <v>8</v>
      </c>
      <c r="G60" s="8">
        <v>4530520.9800000004</v>
      </c>
      <c r="H60" s="2">
        <v>0</v>
      </c>
      <c r="I60" s="2">
        <v>0</v>
      </c>
      <c r="J60" s="2">
        <v>0</v>
      </c>
      <c r="K60" s="49"/>
    </row>
    <row r="61" spans="1:16" ht="27.75" customHeight="1" x14ac:dyDescent="0.25">
      <c r="A61" s="50"/>
      <c r="B61" s="50"/>
      <c r="C61" s="48"/>
      <c r="D61" s="48"/>
      <c r="E61" s="44" t="s">
        <v>9</v>
      </c>
      <c r="F61" s="47" t="s">
        <v>8</v>
      </c>
      <c r="G61" s="8">
        <v>188771.71</v>
      </c>
      <c r="H61" s="2">
        <v>0</v>
      </c>
      <c r="I61" s="2">
        <v>0</v>
      </c>
      <c r="J61" s="2">
        <v>0</v>
      </c>
      <c r="K61" s="49"/>
    </row>
    <row r="62" spans="1:16" ht="16.5" customHeight="1" x14ac:dyDescent="0.25">
      <c r="A62" s="50"/>
      <c r="B62" s="50"/>
      <c r="C62" s="48"/>
      <c r="D62" s="48"/>
      <c r="E62" s="44" t="s">
        <v>10</v>
      </c>
      <c r="F62" s="47" t="s">
        <v>8</v>
      </c>
      <c r="G62" s="2">
        <v>0</v>
      </c>
      <c r="H62" s="2">
        <v>0</v>
      </c>
      <c r="I62" s="2">
        <v>0</v>
      </c>
      <c r="J62" s="2">
        <v>0</v>
      </c>
      <c r="K62" s="49"/>
    </row>
    <row r="63" spans="1:16" ht="16.5" customHeight="1" x14ac:dyDescent="0.25">
      <c r="A63" s="53" t="s">
        <v>248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6" ht="23.25" customHeight="1" x14ac:dyDescent="0.25">
      <c r="A64" s="50" t="s">
        <v>249</v>
      </c>
      <c r="B64" s="50" t="s">
        <v>4</v>
      </c>
      <c r="C64" s="48">
        <v>45658</v>
      </c>
      <c r="D64" s="48">
        <v>46022</v>
      </c>
      <c r="E64" s="44" t="s">
        <v>5</v>
      </c>
      <c r="F64" s="47" t="s">
        <v>251</v>
      </c>
      <c r="G64" s="2">
        <f>SUM(G65:G67)</f>
        <v>0</v>
      </c>
      <c r="H64" s="2">
        <f>SUM(H65:H67)</f>
        <v>865414.64999999991</v>
      </c>
      <c r="I64" s="2">
        <f t="shared" ref="I64" si="15">SUM(I65:I67)</f>
        <v>0</v>
      </c>
      <c r="J64" s="2">
        <f t="shared" ref="J64" si="16">SUM(J65:J67)</f>
        <v>0</v>
      </c>
      <c r="K64" s="49" t="s">
        <v>250</v>
      </c>
    </row>
    <row r="65" spans="1:16" ht="23.25" customHeight="1" x14ac:dyDescent="0.25">
      <c r="A65" s="50"/>
      <c r="B65" s="50"/>
      <c r="C65" s="48"/>
      <c r="D65" s="48"/>
      <c r="E65" s="44" t="s">
        <v>7</v>
      </c>
      <c r="F65" s="47" t="s">
        <v>8</v>
      </c>
      <c r="G65" s="8">
        <v>0</v>
      </c>
      <c r="H65" s="8">
        <v>814179.19</v>
      </c>
      <c r="I65" s="8">
        <v>0</v>
      </c>
      <c r="J65" s="8">
        <v>0</v>
      </c>
      <c r="K65" s="49"/>
      <c r="P65" s="4"/>
    </row>
    <row r="66" spans="1:16" ht="23.25" customHeight="1" x14ac:dyDescent="0.25">
      <c r="A66" s="50"/>
      <c r="B66" s="50"/>
      <c r="C66" s="48"/>
      <c r="D66" s="48"/>
      <c r="E66" s="44" t="s">
        <v>9</v>
      </c>
      <c r="F66" s="47" t="s">
        <v>8</v>
      </c>
      <c r="G66" s="8">
        <v>0</v>
      </c>
      <c r="H66" s="8">
        <v>33927.14</v>
      </c>
      <c r="I66" s="8">
        <v>0</v>
      </c>
      <c r="J66" s="8">
        <v>0</v>
      </c>
      <c r="K66" s="49"/>
      <c r="P66" s="4"/>
    </row>
    <row r="67" spans="1:16" ht="23.25" customHeight="1" x14ac:dyDescent="0.25">
      <c r="A67" s="50"/>
      <c r="B67" s="50"/>
      <c r="C67" s="48"/>
      <c r="D67" s="48"/>
      <c r="E67" s="44" t="s">
        <v>10</v>
      </c>
      <c r="F67" s="47" t="s">
        <v>8</v>
      </c>
      <c r="G67" s="2">
        <v>0</v>
      </c>
      <c r="H67" s="2">
        <v>17308.32</v>
      </c>
      <c r="I67" s="2">
        <v>0</v>
      </c>
      <c r="J67" s="2">
        <v>0</v>
      </c>
      <c r="K67" s="49"/>
      <c r="P67" s="4"/>
    </row>
    <row r="68" spans="1:16" ht="24.75" customHeight="1" x14ac:dyDescent="0.25">
      <c r="A68" s="50" t="s">
        <v>249</v>
      </c>
      <c r="B68" s="50" t="s">
        <v>4</v>
      </c>
      <c r="C68" s="48">
        <v>45658</v>
      </c>
      <c r="D68" s="48">
        <v>46022</v>
      </c>
      <c r="E68" s="44" t="s">
        <v>5</v>
      </c>
      <c r="F68" s="47" t="s">
        <v>252</v>
      </c>
      <c r="G68" s="2">
        <f>SUM(G69:G71)</f>
        <v>0</v>
      </c>
      <c r="H68" s="2">
        <f>SUM(H69:H71)</f>
        <v>128175.34999999996</v>
      </c>
      <c r="I68" s="2">
        <f t="shared" ref="I68:J68" si="17">SUM(I69:I71)</f>
        <v>0</v>
      </c>
      <c r="J68" s="2">
        <f t="shared" si="17"/>
        <v>0</v>
      </c>
      <c r="K68" s="49" t="s">
        <v>250</v>
      </c>
      <c r="P68" s="4"/>
    </row>
    <row r="69" spans="1:16" ht="23.25" customHeight="1" x14ac:dyDescent="0.25">
      <c r="A69" s="50"/>
      <c r="B69" s="50"/>
      <c r="C69" s="48"/>
      <c r="D69" s="48"/>
      <c r="E69" s="44" t="s">
        <v>7</v>
      </c>
      <c r="F69" s="47" t="s">
        <v>8</v>
      </c>
      <c r="G69" s="8">
        <v>0</v>
      </c>
      <c r="H69" s="8">
        <v>0</v>
      </c>
      <c r="I69" s="8">
        <v>0</v>
      </c>
      <c r="J69" s="8">
        <v>0</v>
      </c>
      <c r="K69" s="49"/>
    </row>
    <row r="70" spans="1:16" ht="23.25" customHeight="1" x14ac:dyDescent="0.25">
      <c r="A70" s="50"/>
      <c r="B70" s="50"/>
      <c r="C70" s="48"/>
      <c r="D70" s="48"/>
      <c r="E70" s="44" t="s">
        <v>9</v>
      </c>
      <c r="F70" s="47" t="s">
        <v>8</v>
      </c>
      <c r="G70" s="8">
        <v>0</v>
      </c>
      <c r="H70" s="8">
        <f>548393.61-422781.78</f>
        <v>125611.82999999996</v>
      </c>
      <c r="I70" s="8">
        <v>0</v>
      </c>
      <c r="J70" s="8">
        <v>0</v>
      </c>
      <c r="K70" s="49"/>
    </row>
    <row r="71" spans="1:16" ht="23.25" customHeight="1" x14ac:dyDescent="0.25">
      <c r="A71" s="50"/>
      <c r="B71" s="50"/>
      <c r="C71" s="48"/>
      <c r="D71" s="48"/>
      <c r="E71" s="44" t="s">
        <v>10</v>
      </c>
      <c r="F71" s="47" t="s">
        <v>8</v>
      </c>
      <c r="G71" s="2">
        <v>0</v>
      </c>
      <c r="H71" s="2">
        <f>11191.74-8628.22</f>
        <v>2563.5200000000004</v>
      </c>
      <c r="I71" s="2">
        <v>0</v>
      </c>
      <c r="J71" s="2">
        <v>0</v>
      </c>
      <c r="K71" s="49"/>
    </row>
    <row r="72" spans="1:16" ht="23.25" customHeight="1" x14ac:dyDescent="0.25">
      <c r="A72" s="50" t="s">
        <v>253</v>
      </c>
      <c r="B72" s="50" t="s">
        <v>254</v>
      </c>
      <c r="C72" s="48">
        <v>46388</v>
      </c>
      <c r="D72" s="48">
        <v>46752</v>
      </c>
      <c r="E72" s="44" t="s">
        <v>5</v>
      </c>
      <c r="F72" s="47" t="s">
        <v>255</v>
      </c>
      <c r="G72" s="2">
        <f>SUM(G73:G75)</f>
        <v>0</v>
      </c>
      <c r="H72" s="2">
        <f>SUM(H73:H75)</f>
        <v>0</v>
      </c>
      <c r="I72" s="2">
        <f t="shared" ref="I72:J72" si="18">SUM(I73:I75)</f>
        <v>0</v>
      </c>
      <c r="J72" s="2">
        <f t="shared" si="18"/>
        <v>108303200</v>
      </c>
      <c r="K72" s="49" t="s">
        <v>257</v>
      </c>
    </row>
    <row r="73" spans="1:16" ht="23.25" customHeight="1" x14ac:dyDescent="0.25">
      <c r="A73" s="50"/>
      <c r="B73" s="50"/>
      <c r="C73" s="48"/>
      <c r="D73" s="48"/>
      <c r="E73" s="44" t="s">
        <v>7</v>
      </c>
      <c r="F73" s="47" t="s">
        <v>8</v>
      </c>
      <c r="G73" s="8">
        <v>0</v>
      </c>
      <c r="H73" s="8">
        <v>0</v>
      </c>
      <c r="I73" s="8">
        <v>0</v>
      </c>
      <c r="J73" s="8">
        <v>81227400</v>
      </c>
      <c r="K73" s="49"/>
    </row>
    <row r="74" spans="1:16" ht="23.25" customHeight="1" x14ac:dyDescent="0.25">
      <c r="A74" s="50"/>
      <c r="B74" s="50"/>
      <c r="C74" s="48"/>
      <c r="D74" s="48"/>
      <c r="E74" s="44" t="s">
        <v>9</v>
      </c>
      <c r="F74" s="47" t="s">
        <v>8</v>
      </c>
      <c r="G74" s="8">
        <v>0</v>
      </c>
      <c r="H74" s="8">
        <v>0</v>
      </c>
      <c r="I74" s="8">
        <v>0</v>
      </c>
      <c r="J74" s="8">
        <v>24909736</v>
      </c>
      <c r="K74" s="49"/>
    </row>
    <row r="75" spans="1:16" ht="23.25" customHeight="1" x14ac:dyDescent="0.25">
      <c r="A75" s="50"/>
      <c r="B75" s="50"/>
      <c r="C75" s="48"/>
      <c r="D75" s="48"/>
      <c r="E75" s="44" t="s">
        <v>10</v>
      </c>
      <c r="F75" s="47" t="s">
        <v>8</v>
      </c>
      <c r="G75" s="2">
        <v>0</v>
      </c>
      <c r="H75" s="2">
        <v>0</v>
      </c>
      <c r="I75" s="2">
        <v>0</v>
      </c>
      <c r="J75" s="2">
        <v>2166064</v>
      </c>
      <c r="K75" s="49"/>
    </row>
    <row r="76" spans="1:16" ht="25.5" customHeight="1" x14ac:dyDescent="0.25">
      <c r="A76" s="50" t="s">
        <v>253</v>
      </c>
      <c r="B76" s="50" t="s">
        <v>254</v>
      </c>
      <c r="C76" s="48">
        <v>46388</v>
      </c>
      <c r="D76" s="48">
        <v>46752</v>
      </c>
      <c r="E76" s="44" t="s">
        <v>5</v>
      </c>
      <c r="F76" s="47" t="s">
        <v>256</v>
      </c>
      <c r="G76" s="2">
        <f>SUM(G77:G79)</f>
        <v>0</v>
      </c>
      <c r="H76" s="2">
        <f>SUM(H77:H79)</f>
        <v>0</v>
      </c>
      <c r="I76" s="2">
        <f t="shared" ref="I76:J76" si="19">SUM(I77:I79)</f>
        <v>0</v>
      </c>
      <c r="J76" s="2">
        <f t="shared" si="19"/>
        <v>150973.34</v>
      </c>
      <c r="K76" s="49" t="s">
        <v>257</v>
      </c>
    </row>
    <row r="77" spans="1:16" ht="24" customHeight="1" x14ac:dyDescent="0.25">
      <c r="A77" s="50"/>
      <c r="B77" s="50"/>
      <c r="C77" s="48"/>
      <c r="D77" s="48"/>
      <c r="E77" s="44" t="s">
        <v>7</v>
      </c>
      <c r="F77" s="47" t="s">
        <v>8</v>
      </c>
      <c r="G77" s="8">
        <v>0</v>
      </c>
      <c r="H77" s="8">
        <v>0</v>
      </c>
      <c r="I77" s="8">
        <v>0</v>
      </c>
      <c r="J77" s="8">
        <v>0</v>
      </c>
      <c r="K77" s="49"/>
    </row>
    <row r="78" spans="1:16" ht="26.25" customHeight="1" x14ac:dyDescent="0.25">
      <c r="A78" s="50"/>
      <c r="B78" s="50"/>
      <c r="C78" s="48"/>
      <c r="D78" s="48"/>
      <c r="E78" s="44" t="s">
        <v>9</v>
      </c>
      <c r="F78" s="47" t="s">
        <v>8</v>
      </c>
      <c r="G78" s="8">
        <v>0</v>
      </c>
      <c r="H78" s="8">
        <v>0</v>
      </c>
      <c r="I78" s="8">
        <v>0</v>
      </c>
      <c r="J78" s="8">
        <v>147953.87</v>
      </c>
      <c r="K78" s="49"/>
    </row>
    <row r="79" spans="1:16" ht="16.5" customHeight="1" x14ac:dyDescent="0.25">
      <c r="A79" s="50"/>
      <c r="B79" s="50"/>
      <c r="C79" s="48"/>
      <c r="D79" s="48"/>
      <c r="E79" s="44" t="s">
        <v>10</v>
      </c>
      <c r="F79" s="47" t="s">
        <v>8</v>
      </c>
      <c r="G79" s="2">
        <v>0</v>
      </c>
      <c r="H79" s="2">
        <v>0</v>
      </c>
      <c r="I79" s="2">
        <v>0</v>
      </c>
      <c r="J79" s="2">
        <v>3019.47</v>
      </c>
      <c r="K79" s="49"/>
    </row>
    <row r="80" spans="1:16" ht="16.5" customHeight="1" x14ac:dyDescent="0.25">
      <c r="A80" s="53" t="s">
        <v>258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</row>
    <row r="81" spans="1:16" ht="38.25" customHeight="1" x14ac:dyDescent="0.25">
      <c r="A81" s="54" t="s">
        <v>259</v>
      </c>
      <c r="B81" s="50" t="s">
        <v>4</v>
      </c>
      <c r="C81" s="48">
        <v>45658</v>
      </c>
      <c r="D81" s="48">
        <v>46752</v>
      </c>
      <c r="E81" s="44" t="s">
        <v>5</v>
      </c>
      <c r="F81" s="47" t="s">
        <v>260</v>
      </c>
      <c r="G81" s="2">
        <f>SUM(G82:G84)</f>
        <v>0</v>
      </c>
      <c r="H81" s="2">
        <f>SUM(H82:H84)</f>
        <v>1249900</v>
      </c>
      <c r="I81" s="2">
        <f t="shared" ref="I81:J81" si="20">SUM(I82:I84)</f>
        <v>1249900</v>
      </c>
      <c r="J81" s="2">
        <f t="shared" si="20"/>
        <v>1249900</v>
      </c>
      <c r="K81" s="54" t="s">
        <v>261</v>
      </c>
      <c r="P81" s="4"/>
    </row>
    <row r="82" spans="1:16" ht="38.25" customHeight="1" x14ac:dyDescent="0.25">
      <c r="A82" s="55"/>
      <c r="B82" s="50"/>
      <c r="C82" s="48"/>
      <c r="D82" s="48"/>
      <c r="E82" s="44" t="s">
        <v>7</v>
      </c>
      <c r="F82" s="47" t="s">
        <v>8</v>
      </c>
      <c r="G82" s="8">
        <v>0</v>
      </c>
      <c r="H82" s="8">
        <v>1249900</v>
      </c>
      <c r="I82" s="8">
        <v>1249900</v>
      </c>
      <c r="J82" s="8">
        <v>1249900</v>
      </c>
      <c r="K82" s="55"/>
      <c r="P82" s="4"/>
    </row>
    <row r="83" spans="1:16" ht="38.25" customHeight="1" x14ac:dyDescent="0.25">
      <c r="A83" s="55"/>
      <c r="B83" s="50"/>
      <c r="C83" s="48"/>
      <c r="D83" s="48"/>
      <c r="E83" s="44" t="s">
        <v>9</v>
      </c>
      <c r="F83" s="47" t="s">
        <v>8</v>
      </c>
      <c r="G83" s="8">
        <v>0</v>
      </c>
      <c r="H83" s="8">
        <v>0</v>
      </c>
      <c r="I83" s="8">
        <v>0</v>
      </c>
      <c r="J83" s="8">
        <v>0</v>
      </c>
      <c r="K83" s="55"/>
      <c r="P83" s="4"/>
    </row>
    <row r="84" spans="1:16" ht="38.25" customHeight="1" x14ac:dyDescent="0.25">
      <c r="A84" s="56"/>
      <c r="B84" s="50"/>
      <c r="C84" s="48"/>
      <c r="D84" s="48"/>
      <c r="E84" s="44" t="s">
        <v>10</v>
      </c>
      <c r="F84" s="47" t="s">
        <v>8</v>
      </c>
      <c r="G84" s="2">
        <v>0</v>
      </c>
      <c r="H84" s="2">
        <v>0</v>
      </c>
      <c r="I84" s="2">
        <v>0</v>
      </c>
      <c r="J84" s="2">
        <v>0</v>
      </c>
      <c r="K84" s="56"/>
      <c r="P84" s="4"/>
    </row>
    <row r="85" spans="1:16" ht="27.75" customHeight="1" x14ac:dyDescent="0.25">
      <c r="A85" s="54" t="s">
        <v>94</v>
      </c>
      <c r="B85" s="50" t="s">
        <v>4</v>
      </c>
      <c r="C85" s="48">
        <v>45658</v>
      </c>
      <c r="D85" s="48">
        <v>46752</v>
      </c>
      <c r="E85" s="44" t="s">
        <v>5</v>
      </c>
      <c r="F85" s="47" t="s">
        <v>263</v>
      </c>
      <c r="G85" s="2">
        <f>SUM(G86:G88)</f>
        <v>0</v>
      </c>
      <c r="H85" s="2">
        <f>SUM(H86:H88)</f>
        <v>4733487.8199999994</v>
      </c>
      <c r="I85" s="2">
        <f t="shared" ref="I85:J85" si="21">SUM(I86:I88)</f>
        <v>4805313.0200000005</v>
      </c>
      <c r="J85" s="2">
        <f t="shared" si="21"/>
        <v>4892231.71</v>
      </c>
      <c r="K85" s="54" t="s">
        <v>262</v>
      </c>
    </row>
    <row r="86" spans="1:16" ht="30.75" customHeight="1" x14ac:dyDescent="0.25">
      <c r="A86" s="55"/>
      <c r="B86" s="50"/>
      <c r="C86" s="48"/>
      <c r="D86" s="48"/>
      <c r="E86" s="44" t="s">
        <v>7</v>
      </c>
      <c r="F86" s="47" t="s">
        <v>8</v>
      </c>
      <c r="G86" s="8">
        <v>0</v>
      </c>
      <c r="H86" s="8">
        <v>4544148.3</v>
      </c>
      <c r="I86" s="8">
        <v>4613100.49</v>
      </c>
      <c r="J86" s="8">
        <v>4696542.4400000004</v>
      </c>
      <c r="K86" s="55"/>
    </row>
    <row r="87" spans="1:16" ht="32.25" customHeight="1" x14ac:dyDescent="0.25">
      <c r="A87" s="55"/>
      <c r="B87" s="50"/>
      <c r="C87" s="48"/>
      <c r="D87" s="48"/>
      <c r="E87" s="44" t="s">
        <v>9</v>
      </c>
      <c r="F87" s="47" t="s">
        <v>8</v>
      </c>
      <c r="G87" s="8">
        <v>0</v>
      </c>
      <c r="H87" s="8">
        <v>189339.51999999999</v>
      </c>
      <c r="I87" s="8">
        <v>192212.53</v>
      </c>
      <c r="J87" s="8">
        <v>195689.27</v>
      </c>
      <c r="K87" s="55"/>
    </row>
    <row r="88" spans="1:16" ht="23.25" customHeight="1" x14ac:dyDescent="0.25">
      <c r="A88" s="56"/>
      <c r="B88" s="50"/>
      <c r="C88" s="48"/>
      <c r="D88" s="48"/>
      <c r="E88" s="44" t="s">
        <v>10</v>
      </c>
      <c r="F88" s="47" t="s">
        <v>8</v>
      </c>
      <c r="G88" s="2">
        <v>0</v>
      </c>
      <c r="H88" s="2">
        <v>0</v>
      </c>
      <c r="I88" s="2">
        <v>0</v>
      </c>
      <c r="J88" s="2">
        <v>0</v>
      </c>
      <c r="K88" s="56"/>
      <c r="P88" s="4"/>
    </row>
    <row r="89" spans="1:16" ht="27" customHeight="1" x14ac:dyDescent="0.25">
      <c r="A89" s="54" t="s">
        <v>43</v>
      </c>
      <c r="B89" s="50" t="s">
        <v>4</v>
      </c>
      <c r="C89" s="48">
        <v>45658</v>
      </c>
      <c r="D89" s="48">
        <v>46752</v>
      </c>
      <c r="E89" s="44" t="s">
        <v>5</v>
      </c>
      <c r="F89" s="47" t="s">
        <v>264</v>
      </c>
      <c r="G89" s="2">
        <f>SUM(G90:G92)</f>
        <v>0</v>
      </c>
      <c r="H89" s="2">
        <f>SUM(H90:H92)</f>
        <v>46516000</v>
      </c>
      <c r="I89" s="2">
        <f t="shared" ref="I89:J89" si="22">SUM(I90:I92)</f>
        <v>46819800</v>
      </c>
      <c r="J89" s="2">
        <f t="shared" si="22"/>
        <v>46823000</v>
      </c>
      <c r="K89" s="54" t="s">
        <v>265</v>
      </c>
      <c r="P89" s="4"/>
    </row>
    <row r="90" spans="1:16" ht="31.5" customHeight="1" x14ac:dyDescent="0.25">
      <c r="A90" s="55"/>
      <c r="B90" s="50"/>
      <c r="C90" s="48"/>
      <c r="D90" s="48"/>
      <c r="E90" s="44" t="s">
        <v>7</v>
      </c>
      <c r="F90" s="47" t="s">
        <v>8</v>
      </c>
      <c r="G90" s="8">
        <v>0</v>
      </c>
      <c r="H90" s="8">
        <v>46516000</v>
      </c>
      <c r="I90" s="8">
        <v>46819800</v>
      </c>
      <c r="J90" s="8">
        <v>46823000</v>
      </c>
      <c r="K90" s="55"/>
      <c r="P90" s="4"/>
    </row>
    <row r="91" spans="1:16" ht="31.5" customHeight="1" x14ac:dyDescent="0.25">
      <c r="A91" s="55"/>
      <c r="B91" s="50"/>
      <c r="C91" s="48"/>
      <c r="D91" s="48"/>
      <c r="E91" s="44" t="s">
        <v>9</v>
      </c>
      <c r="F91" s="47" t="s">
        <v>8</v>
      </c>
      <c r="G91" s="8">
        <v>0</v>
      </c>
      <c r="H91" s="8">
        <v>0</v>
      </c>
      <c r="I91" s="8">
        <v>0</v>
      </c>
      <c r="J91" s="8">
        <v>0</v>
      </c>
      <c r="K91" s="55"/>
      <c r="P91" s="4"/>
    </row>
    <row r="92" spans="1:16" ht="31.5" customHeight="1" x14ac:dyDescent="0.25">
      <c r="A92" s="56"/>
      <c r="B92" s="50"/>
      <c r="C92" s="48"/>
      <c r="D92" s="48"/>
      <c r="E92" s="44" t="s">
        <v>10</v>
      </c>
      <c r="F92" s="47" t="s">
        <v>8</v>
      </c>
      <c r="G92" s="2">
        <v>0</v>
      </c>
      <c r="H92" s="2">
        <v>0</v>
      </c>
      <c r="I92" s="2">
        <v>0</v>
      </c>
      <c r="J92" s="2">
        <v>0</v>
      </c>
      <c r="K92" s="56"/>
      <c r="P92" s="4"/>
    </row>
    <row r="93" spans="1:16" ht="15.75" customHeight="1" x14ac:dyDescent="0.25">
      <c r="A93" s="53" t="s">
        <v>350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P93" s="4"/>
    </row>
    <row r="94" spans="1:16" ht="57.75" customHeight="1" x14ac:dyDescent="0.25">
      <c r="A94" s="57" t="s">
        <v>344</v>
      </c>
      <c r="B94" s="60" t="s">
        <v>20</v>
      </c>
      <c r="C94" s="73">
        <v>45658</v>
      </c>
      <c r="D94" s="73">
        <v>46022</v>
      </c>
      <c r="E94" s="43" t="s">
        <v>5</v>
      </c>
      <c r="F94" s="40" t="s">
        <v>347</v>
      </c>
      <c r="G94" s="41">
        <f t="shared" ref="G94:J94" si="23">SUM(G95:G97)</f>
        <v>0</v>
      </c>
      <c r="H94" s="41">
        <f t="shared" si="23"/>
        <v>130000000</v>
      </c>
      <c r="I94" s="41">
        <f t="shared" si="23"/>
        <v>0</v>
      </c>
      <c r="J94" s="41">
        <f t="shared" si="23"/>
        <v>0</v>
      </c>
      <c r="K94" s="57" t="s">
        <v>345</v>
      </c>
      <c r="P94" s="4"/>
    </row>
    <row r="95" spans="1:16" ht="57.75" customHeight="1" x14ac:dyDescent="0.25">
      <c r="A95" s="58"/>
      <c r="B95" s="60"/>
      <c r="C95" s="73"/>
      <c r="D95" s="73"/>
      <c r="E95" s="43" t="s">
        <v>7</v>
      </c>
      <c r="F95" s="40" t="s">
        <v>8</v>
      </c>
      <c r="G95" s="41">
        <v>0</v>
      </c>
      <c r="H95" s="41">
        <v>0</v>
      </c>
      <c r="I95" s="41">
        <v>0</v>
      </c>
      <c r="J95" s="41">
        <v>0</v>
      </c>
      <c r="K95" s="58"/>
      <c r="P95" s="4"/>
    </row>
    <row r="96" spans="1:16" ht="57.75" customHeight="1" x14ac:dyDescent="0.25">
      <c r="A96" s="58"/>
      <c r="B96" s="60"/>
      <c r="C96" s="73"/>
      <c r="D96" s="73"/>
      <c r="E96" s="43" t="s">
        <v>9</v>
      </c>
      <c r="F96" s="40" t="s">
        <v>8</v>
      </c>
      <c r="G96" s="41">
        <v>0</v>
      </c>
      <c r="H96" s="41">
        <v>130000000</v>
      </c>
      <c r="I96" s="41">
        <v>0</v>
      </c>
      <c r="J96" s="41">
        <v>0</v>
      </c>
      <c r="K96" s="58"/>
      <c r="P96" s="4"/>
    </row>
    <row r="97" spans="1:16" ht="57.75" customHeight="1" x14ac:dyDescent="0.25">
      <c r="A97" s="59"/>
      <c r="B97" s="60"/>
      <c r="C97" s="73"/>
      <c r="D97" s="73"/>
      <c r="E97" s="43" t="s">
        <v>10</v>
      </c>
      <c r="F97" s="40" t="s">
        <v>8</v>
      </c>
      <c r="G97" s="41">
        <v>0</v>
      </c>
      <c r="H97" s="41">
        <v>0</v>
      </c>
      <c r="I97" s="41">
        <v>0</v>
      </c>
      <c r="J97" s="41">
        <v>0</v>
      </c>
      <c r="K97" s="59"/>
      <c r="P97" s="4"/>
    </row>
    <row r="98" spans="1:16" ht="15.75" customHeight="1" x14ac:dyDescent="0.25">
      <c r="A98" s="53" t="s">
        <v>23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</row>
    <row r="99" spans="1:16" ht="24" customHeight="1" x14ac:dyDescent="0.25">
      <c r="A99" s="54" t="s">
        <v>24</v>
      </c>
      <c r="B99" s="64" t="s">
        <v>51</v>
      </c>
      <c r="C99" s="75">
        <v>45292</v>
      </c>
      <c r="D99" s="75">
        <v>46752</v>
      </c>
      <c r="E99" s="44" t="s">
        <v>5</v>
      </c>
      <c r="F99" s="47" t="s">
        <v>25</v>
      </c>
      <c r="G99" s="2">
        <f>SUM(G100:G102)</f>
        <v>143900486.78000003</v>
      </c>
      <c r="H99" s="2">
        <f t="shared" ref="H99:I99" si="24">SUM(H100:H102)</f>
        <v>161661484.21000001</v>
      </c>
      <c r="I99" s="2">
        <f t="shared" si="24"/>
        <v>166357885</v>
      </c>
      <c r="J99" s="2">
        <f t="shared" ref="J99" si="25">SUM(J100:J102)</f>
        <v>168857083</v>
      </c>
      <c r="K99" s="64" t="s">
        <v>26</v>
      </c>
    </row>
    <row r="100" spans="1:16" ht="24" customHeight="1" x14ac:dyDescent="0.25">
      <c r="A100" s="55"/>
      <c r="B100" s="74"/>
      <c r="C100" s="76"/>
      <c r="D100" s="76"/>
      <c r="E100" s="44" t="s">
        <v>7</v>
      </c>
      <c r="F100" s="47" t="s">
        <v>8</v>
      </c>
      <c r="G100" s="2">
        <v>0</v>
      </c>
      <c r="H100" s="2">
        <v>0</v>
      </c>
      <c r="I100" s="2">
        <v>0</v>
      </c>
      <c r="J100" s="2">
        <v>0</v>
      </c>
      <c r="K100" s="74"/>
    </row>
    <row r="101" spans="1:16" ht="24" customHeight="1" x14ac:dyDescent="0.25">
      <c r="A101" s="55"/>
      <c r="B101" s="74"/>
      <c r="C101" s="76"/>
      <c r="D101" s="76"/>
      <c r="E101" s="24" t="s">
        <v>9</v>
      </c>
      <c r="F101" s="45" t="s">
        <v>8</v>
      </c>
      <c r="G101" s="25">
        <v>0</v>
      </c>
      <c r="H101" s="25">
        <v>0</v>
      </c>
      <c r="I101" s="25">
        <v>0</v>
      </c>
      <c r="J101" s="25">
        <v>0</v>
      </c>
      <c r="K101" s="74"/>
    </row>
    <row r="102" spans="1:16" ht="24" customHeight="1" x14ac:dyDescent="0.25">
      <c r="A102" s="55"/>
      <c r="B102" s="74"/>
      <c r="C102" s="76"/>
      <c r="D102" s="78"/>
      <c r="E102" s="24" t="s">
        <v>206</v>
      </c>
      <c r="F102" s="64" t="s">
        <v>8</v>
      </c>
      <c r="G102" s="25">
        <f>133180300-425000+8958827.99-1598192.33-69000+665000+1598192.33+9770+29390+71805+10327.08-2191145.3+1100000-1107000+2473145.3+195000+14000+80000+80000+386140+61500+79600+28200+49400+1720226.71-1500000</f>
        <v>143900486.78000003</v>
      </c>
      <c r="H102" s="25">
        <f>163037776+2060290.47-2906880-529702.26</f>
        <v>161661484.21000001</v>
      </c>
      <c r="I102" s="25">
        <v>166357885</v>
      </c>
      <c r="J102" s="25">
        <v>168857083</v>
      </c>
      <c r="K102" s="80"/>
    </row>
    <row r="103" spans="1:16" ht="51" customHeight="1" x14ac:dyDescent="0.25">
      <c r="A103" s="56"/>
      <c r="B103" s="65"/>
      <c r="C103" s="77"/>
      <c r="D103" s="79"/>
      <c r="E103" s="26" t="s">
        <v>205</v>
      </c>
      <c r="F103" s="65"/>
      <c r="G103" s="27">
        <f>4356716.94+1720226.71</f>
        <v>6076943.6500000004</v>
      </c>
      <c r="H103" s="27">
        <v>0</v>
      </c>
      <c r="I103" s="27">
        <v>0</v>
      </c>
      <c r="J103" s="27">
        <v>0</v>
      </c>
      <c r="K103" s="81"/>
    </row>
    <row r="104" spans="1:16" ht="59.25" customHeight="1" x14ac:dyDescent="0.25">
      <c r="A104" s="49" t="s">
        <v>27</v>
      </c>
      <c r="B104" s="50" t="s">
        <v>51</v>
      </c>
      <c r="C104" s="75">
        <v>45292</v>
      </c>
      <c r="D104" s="75">
        <v>46752</v>
      </c>
      <c r="E104" s="44" t="s">
        <v>5</v>
      </c>
      <c r="F104" s="47" t="s">
        <v>37</v>
      </c>
      <c r="G104" s="2">
        <f>SUM(G105:G107)</f>
        <v>476371915.56999999</v>
      </c>
      <c r="H104" s="2">
        <f t="shared" ref="H104:I104" si="26">SUM(H105:H107)</f>
        <v>449300718.98000002</v>
      </c>
      <c r="I104" s="2">
        <f t="shared" si="26"/>
        <v>507997504.14999998</v>
      </c>
      <c r="J104" s="2">
        <f t="shared" ref="J104" si="27">SUM(J105:J107)</f>
        <v>594469670.67999995</v>
      </c>
      <c r="K104" s="49" t="s">
        <v>80</v>
      </c>
    </row>
    <row r="105" spans="1:16" ht="59.25" customHeight="1" x14ac:dyDescent="0.25">
      <c r="A105" s="49"/>
      <c r="B105" s="50"/>
      <c r="C105" s="76"/>
      <c r="D105" s="76"/>
      <c r="E105" s="44" t="s">
        <v>7</v>
      </c>
      <c r="F105" s="47" t="s">
        <v>8</v>
      </c>
      <c r="G105" s="2">
        <v>0</v>
      </c>
      <c r="H105" s="2">
        <v>0</v>
      </c>
      <c r="I105" s="2">
        <v>0</v>
      </c>
      <c r="J105" s="2">
        <v>0</v>
      </c>
      <c r="K105" s="49"/>
    </row>
    <row r="106" spans="1:16" ht="59.25" customHeight="1" x14ac:dyDescent="0.25">
      <c r="A106" s="49"/>
      <c r="B106" s="50"/>
      <c r="C106" s="76"/>
      <c r="D106" s="76"/>
      <c r="E106" s="44" t="s">
        <v>9</v>
      </c>
      <c r="F106" s="47" t="s">
        <v>8</v>
      </c>
      <c r="G106" s="2">
        <f>368789343.2+56385389.33+51197183.04</f>
        <v>476371915.56999999</v>
      </c>
      <c r="H106" s="2">
        <f>446300718.98+3000000</f>
        <v>449300718.98000002</v>
      </c>
      <c r="I106" s="2">
        <v>507997504.14999998</v>
      </c>
      <c r="J106" s="2">
        <v>594469670.67999995</v>
      </c>
      <c r="K106" s="49"/>
    </row>
    <row r="107" spans="1:16" ht="59.25" customHeight="1" x14ac:dyDescent="0.25">
      <c r="A107" s="49"/>
      <c r="B107" s="50"/>
      <c r="C107" s="77"/>
      <c r="D107" s="77"/>
      <c r="E107" s="44" t="s">
        <v>10</v>
      </c>
      <c r="F107" s="47" t="s">
        <v>8</v>
      </c>
      <c r="G107" s="2">
        <v>0</v>
      </c>
      <c r="H107" s="2">
        <v>0</v>
      </c>
      <c r="I107" s="2">
        <v>0</v>
      </c>
      <c r="J107" s="2">
        <v>0</v>
      </c>
      <c r="K107" s="49"/>
    </row>
    <row r="108" spans="1:16" ht="28.5" customHeight="1" x14ac:dyDescent="0.25">
      <c r="A108" s="49" t="s">
        <v>221</v>
      </c>
      <c r="B108" s="49" t="s">
        <v>52</v>
      </c>
      <c r="C108" s="48">
        <v>45292</v>
      </c>
      <c r="D108" s="48">
        <v>46752</v>
      </c>
      <c r="E108" s="44" t="s">
        <v>5</v>
      </c>
      <c r="F108" s="47" t="s">
        <v>28</v>
      </c>
      <c r="G108" s="2">
        <f>SUM(G109:G111)</f>
        <v>18229107.16</v>
      </c>
      <c r="H108" s="2">
        <f t="shared" ref="H108:J108" si="28">SUM(H109:H111)</f>
        <v>14161277.939999999</v>
      </c>
      <c r="I108" s="2">
        <f t="shared" si="28"/>
        <v>3067755.99</v>
      </c>
      <c r="J108" s="2">
        <f t="shared" si="28"/>
        <v>3170285.99</v>
      </c>
      <c r="K108" s="49" t="s">
        <v>101</v>
      </c>
    </row>
    <row r="109" spans="1:16" ht="28.5" customHeight="1" x14ac:dyDescent="0.25">
      <c r="A109" s="49"/>
      <c r="B109" s="49"/>
      <c r="C109" s="48"/>
      <c r="D109" s="48"/>
      <c r="E109" s="44" t="s">
        <v>7</v>
      </c>
      <c r="F109" s="47" t="s">
        <v>8</v>
      </c>
      <c r="G109" s="2">
        <v>0</v>
      </c>
      <c r="H109" s="2">
        <v>0</v>
      </c>
      <c r="I109" s="2">
        <v>0</v>
      </c>
      <c r="J109" s="2">
        <v>0</v>
      </c>
      <c r="K109" s="49"/>
    </row>
    <row r="110" spans="1:16" ht="28.5" customHeight="1" x14ac:dyDescent="0.25">
      <c r="A110" s="49"/>
      <c r="B110" s="49"/>
      <c r="C110" s="48"/>
      <c r="D110" s="48"/>
      <c r="E110" s="44" t="s">
        <v>9</v>
      </c>
      <c r="F110" s="47" t="s">
        <v>8</v>
      </c>
      <c r="G110" s="2">
        <v>0</v>
      </c>
      <c r="H110" s="2">
        <v>0</v>
      </c>
      <c r="I110" s="2">
        <v>0</v>
      </c>
      <c r="J110" s="2">
        <v>0</v>
      </c>
      <c r="K110" s="49"/>
    </row>
    <row r="111" spans="1:16" ht="28.5" customHeight="1" x14ac:dyDescent="0.25">
      <c r="A111" s="49"/>
      <c r="B111" s="49"/>
      <c r="C111" s="48"/>
      <c r="D111" s="48"/>
      <c r="E111" s="44" t="s">
        <v>10</v>
      </c>
      <c r="F111" s="47" t="s">
        <v>8</v>
      </c>
      <c r="G111" s="2">
        <f>3504862.15+425000+3566091.88+300000+69000+6448260.67-152357.78+3368250.24+700000</f>
        <v>18229107.16</v>
      </c>
      <c r="H111" s="2">
        <f>6296849.4+2960520.59+1997027.95+2906880</f>
        <v>14161277.939999999</v>
      </c>
      <c r="I111" s="2">
        <f>3068210-454.01</f>
        <v>3067755.99</v>
      </c>
      <c r="J111" s="2">
        <f>3170740-454.01</f>
        <v>3170285.99</v>
      </c>
      <c r="K111" s="49"/>
    </row>
    <row r="112" spans="1:16" ht="38.25" customHeight="1" x14ac:dyDescent="0.25">
      <c r="A112" s="49" t="s">
        <v>266</v>
      </c>
      <c r="B112" s="49" t="s">
        <v>158</v>
      </c>
      <c r="C112" s="48">
        <v>45292</v>
      </c>
      <c r="D112" s="48">
        <v>46752</v>
      </c>
      <c r="E112" s="44" t="s">
        <v>5</v>
      </c>
      <c r="F112" s="47" t="s">
        <v>28</v>
      </c>
      <c r="G112" s="2">
        <f>SUM(G113:G115)</f>
        <v>2146793.0499999998</v>
      </c>
      <c r="H112" s="2">
        <f t="shared" ref="H112:J112" si="29">SUM(H113:H115)</f>
        <v>1157072.8900000001</v>
      </c>
      <c r="I112" s="2">
        <f t="shared" si="29"/>
        <v>900170.55</v>
      </c>
      <c r="J112" s="2">
        <f t="shared" si="29"/>
        <v>2181705.5499999998</v>
      </c>
      <c r="K112" s="49" t="s">
        <v>169</v>
      </c>
    </row>
    <row r="113" spans="1:11" ht="38.25" customHeight="1" x14ac:dyDescent="0.25">
      <c r="A113" s="49"/>
      <c r="B113" s="49"/>
      <c r="C113" s="48"/>
      <c r="D113" s="48"/>
      <c r="E113" s="44" t="s">
        <v>7</v>
      </c>
      <c r="F113" s="47" t="s">
        <v>8</v>
      </c>
      <c r="G113" s="2">
        <v>0</v>
      </c>
      <c r="H113" s="2">
        <v>0</v>
      </c>
      <c r="I113" s="2">
        <v>0</v>
      </c>
      <c r="J113" s="2">
        <v>0</v>
      </c>
      <c r="K113" s="49"/>
    </row>
    <row r="114" spans="1:11" ht="38.25" customHeight="1" x14ac:dyDescent="0.25">
      <c r="A114" s="49"/>
      <c r="B114" s="49"/>
      <c r="C114" s="48"/>
      <c r="D114" s="48"/>
      <c r="E114" s="44" t="s">
        <v>9</v>
      </c>
      <c r="F114" s="47" t="s">
        <v>8</v>
      </c>
      <c r="G114" s="2">
        <v>0</v>
      </c>
      <c r="H114" s="2">
        <v>0</v>
      </c>
      <c r="I114" s="2">
        <v>0</v>
      </c>
      <c r="J114" s="2">
        <v>0</v>
      </c>
      <c r="K114" s="49"/>
    </row>
    <row r="115" spans="1:11" ht="38.25" customHeight="1" x14ac:dyDescent="0.25">
      <c r="A115" s="49"/>
      <c r="B115" s="49"/>
      <c r="C115" s="48"/>
      <c r="D115" s="48"/>
      <c r="E115" s="44" t="s">
        <v>10</v>
      </c>
      <c r="F115" s="47" t="s">
        <v>8</v>
      </c>
      <c r="G115" s="2">
        <f>1131682.17+128500.88+460000+176610+250000</f>
        <v>2146793.0499999998</v>
      </c>
      <c r="H115" s="2">
        <f>264572.89+800000+92500</f>
        <v>1157072.8900000001</v>
      </c>
      <c r="I115" s="2">
        <v>900170.55</v>
      </c>
      <c r="J115" s="2">
        <f>900170.55+1281535</f>
        <v>2181705.5499999998</v>
      </c>
      <c r="K115" s="49"/>
    </row>
    <row r="116" spans="1:11" ht="33.75" customHeight="1" x14ac:dyDescent="0.25">
      <c r="A116" s="49" t="s">
        <v>267</v>
      </c>
      <c r="B116" s="49" t="s">
        <v>119</v>
      </c>
      <c r="C116" s="48">
        <v>46023</v>
      </c>
      <c r="D116" s="48">
        <v>46752</v>
      </c>
      <c r="E116" s="44" t="s">
        <v>5</v>
      </c>
      <c r="F116" s="47" t="s">
        <v>28</v>
      </c>
      <c r="G116" s="2">
        <f>SUM(G117:G119)</f>
        <v>942225.9</v>
      </c>
      <c r="H116" s="2">
        <f t="shared" ref="H116:J116" si="30">SUM(H117:H119)</f>
        <v>221271.11000000002</v>
      </c>
      <c r="I116" s="2">
        <f t="shared" si="30"/>
        <v>3647503.02</v>
      </c>
      <c r="J116" s="2">
        <f t="shared" si="30"/>
        <v>500000</v>
      </c>
      <c r="K116" s="49" t="s">
        <v>136</v>
      </c>
    </row>
    <row r="117" spans="1:11" ht="29.25" customHeight="1" x14ac:dyDescent="0.25">
      <c r="A117" s="49"/>
      <c r="B117" s="49"/>
      <c r="C117" s="48"/>
      <c r="D117" s="48"/>
      <c r="E117" s="44" t="s">
        <v>7</v>
      </c>
      <c r="F117" s="47" t="s">
        <v>8</v>
      </c>
      <c r="G117" s="2">
        <v>0</v>
      </c>
      <c r="H117" s="2">
        <v>0</v>
      </c>
      <c r="I117" s="2">
        <v>0</v>
      </c>
      <c r="J117" s="2">
        <v>0</v>
      </c>
      <c r="K117" s="49"/>
    </row>
    <row r="118" spans="1:11" ht="27" customHeight="1" x14ac:dyDescent="0.25">
      <c r="A118" s="49"/>
      <c r="B118" s="49"/>
      <c r="C118" s="48"/>
      <c r="D118" s="48"/>
      <c r="E118" s="44" t="s">
        <v>9</v>
      </c>
      <c r="F118" s="47" t="s">
        <v>8</v>
      </c>
      <c r="G118" s="2">
        <v>0</v>
      </c>
      <c r="H118" s="2">
        <v>0</v>
      </c>
      <c r="I118" s="2">
        <v>0</v>
      </c>
      <c r="J118" s="2">
        <v>0</v>
      </c>
      <c r="K118" s="49"/>
    </row>
    <row r="119" spans="1:11" ht="27" customHeight="1" x14ac:dyDescent="0.25">
      <c r="A119" s="49"/>
      <c r="B119" s="49"/>
      <c r="C119" s="48"/>
      <c r="D119" s="48"/>
      <c r="E119" s="44" t="s">
        <v>10</v>
      </c>
      <c r="F119" s="47" t="s">
        <v>8</v>
      </c>
      <c r="G119" s="2">
        <f>460225.9+285000+197000</f>
        <v>942225.9</v>
      </c>
      <c r="H119" s="2">
        <f>197384.48+23886.63</f>
        <v>221271.11000000002</v>
      </c>
      <c r="I119" s="2">
        <f>2529703.02+1117800</f>
        <v>3647503.02</v>
      </c>
      <c r="J119" s="2">
        <v>500000</v>
      </c>
      <c r="K119" s="49"/>
    </row>
    <row r="120" spans="1:11" ht="27" customHeight="1" x14ac:dyDescent="0.25">
      <c r="A120" s="49" t="s">
        <v>268</v>
      </c>
      <c r="B120" s="49" t="s">
        <v>168</v>
      </c>
      <c r="C120" s="48">
        <v>45292</v>
      </c>
      <c r="D120" s="48">
        <v>46752</v>
      </c>
      <c r="E120" s="44" t="s">
        <v>5</v>
      </c>
      <c r="F120" s="47" t="s">
        <v>28</v>
      </c>
      <c r="G120" s="2">
        <f>SUM(G121:G123)</f>
        <v>95746.31</v>
      </c>
      <c r="H120" s="2">
        <f t="shared" ref="H120:J120" si="31">SUM(H121:H123)</f>
        <v>968624.1</v>
      </c>
      <c r="I120" s="2">
        <f t="shared" si="31"/>
        <v>645710</v>
      </c>
      <c r="J120" s="2">
        <f t="shared" si="31"/>
        <v>1123617.3600000001</v>
      </c>
      <c r="K120" s="49" t="s">
        <v>169</v>
      </c>
    </row>
    <row r="121" spans="1:11" ht="30.75" customHeight="1" x14ac:dyDescent="0.25">
      <c r="A121" s="49"/>
      <c r="B121" s="49"/>
      <c r="C121" s="48"/>
      <c r="D121" s="48"/>
      <c r="E121" s="44" t="s">
        <v>7</v>
      </c>
      <c r="F121" s="47" t="s">
        <v>8</v>
      </c>
      <c r="G121" s="2">
        <v>0</v>
      </c>
      <c r="H121" s="2">
        <v>0</v>
      </c>
      <c r="I121" s="2">
        <v>0</v>
      </c>
      <c r="J121" s="2">
        <v>0</v>
      </c>
      <c r="K121" s="49"/>
    </row>
    <row r="122" spans="1:11" ht="30" customHeight="1" x14ac:dyDescent="0.25">
      <c r="A122" s="49"/>
      <c r="B122" s="49"/>
      <c r="C122" s="48"/>
      <c r="D122" s="48"/>
      <c r="E122" s="44" t="s">
        <v>9</v>
      </c>
      <c r="F122" s="47" t="s">
        <v>8</v>
      </c>
      <c r="G122" s="2">
        <v>0</v>
      </c>
      <c r="H122" s="2">
        <v>0</v>
      </c>
      <c r="I122" s="2">
        <v>0</v>
      </c>
      <c r="J122" s="2">
        <v>0</v>
      </c>
      <c r="K122" s="49"/>
    </row>
    <row r="123" spans="1:11" ht="27" customHeight="1" x14ac:dyDescent="0.25">
      <c r="A123" s="49"/>
      <c r="B123" s="49"/>
      <c r="C123" s="48"/>
      <c r="D123" s="48"/>
      <c r="E123" s="44" t="s">
        <v>10</v>
      </c>
      <c r="F123" s="47" t="s">
        <v>8</v>
      </c>
      <c r="G123" s="2">
        <v>95746.31</v>
      </c>
      <c r="H123" s="2">
        <v>968624.1</v>
      </c>
      <c r="I123" s="2">
        <v>645710</v>
      </c>
      <c r="J123" s="2">
        <v>1123617.3600000001</v>
      </c>
      <c r="K123" s="49"/>
    </row>
    <row r="124" spans="1:11" ht="27" customHeight="1" x14ac:dyDescent="0.25">
      <c r="A124" s="49" t="s">
        <v>269</v>
      </c>
      <c r="B124" s="49" t="s">
        <v>170</v>
      </c>
      <c r="C124" s="48">
        <v>45292</v>
      </c>
      <c r="D124" s="48">
        <v>46752</v>
      </c>
      <c r="E124" s="44" t="s">
        <v>5</v>
      </c>
      <c r="F124" s="47" t="s">
        <v>28</v>
      </c>
      <c r="G124" s="2">
        <f>SUM(G125:G127)</f>
        <v>104796.43</v>
      </c>
      <c r="H124" s="2">
        <f t="shared" ref="H124:J124" si="32">SUM(H125:H127)</f>
        <v>1293321.17</v>
      </c>
      <c r="I124" s="2">
        <f t="shared" si="32"/>
        <v>1000000</v>
      </c>
      <c r="J124" s="2">
        <f t="shared" si="32"/>
        <v>1120900</v>
      </c>
      <c r="K124" s="49" t="s">
        <v>169</v>
      </c>
    </row>
    <row r="125" spans="1:11" ht="36" customHeight="1" x14ac:dyDescent="0.25">
      <c r="A125" s="49"/>
      <c r="B125" s="49"/>
      <c r="C125" s="48"/>
      <c r="D125" s="48"/>
      <c r="E125" s="44" t="s">
        <v>7</v>
      </c>
      <c r="F125" s="47" t="s">
        <v>8</v>
      </c>
      <c r="G125" s="2">
        <v>0</v>
      </c>
      <c r="H125" s="2">
        <v>0</v>
      </c>
      <c r="I125" s="2">
        <v>0</v>
      </c>
      <c r="J125" s="2">
        <v>0</v>
      </c>
      <c r="K125" s="49"/>
    </row>
    <row r="126" spans="1:11" ht="36" customHeight="1" x14ac:dyDescent="0.25">
      <c r="A126" s="49"/>
      <c r="B126" s="49"/>
      <c r="C126" s="48"/>
      <c r="D126" s="48"/>
      <c r="E126" s="44" t="s">
        <v>9</v>
      </c>
      <c r="F126" s="47" t="s">
        <v>8</v>
      </c>
      <c r="G126" s="2">
        <v>0</v>
      </c>
      <c r="H126" s="2">
        <v>0</v>
      </c>
      <c r="I126" s="2">
        <v>0</v>
      </c>
      <c r="J126" s="2">
        <v>0</v>
      </c>
      <c r="K126" s="49"/>
    </row>
    <row r="127" spans="1:11" ht="27" customHeight="1" x14ac:dyDescent="0.25">
      <c r="A127" s="49"/>
      <c r="B127" s="49"/>
      <c r="C127" s="48"/>
      <c r="D127" s="48"/>
      <c r="E127" s="44" t="s">
        <v>10</v>
      </c>
      <c r="F127" s="47" t="s">
        <v>8</v>
      </c>
      <c r="G127" s="2">
        <v>104796.43</v>
      </c>
      <c r="H127" s="2">
        <f>699508.18+593812.99</f>
        <v>1293321.17</v>
      </c>
      <c r="I127" s="2">
        <v>1000000</v>
      </c>
      <c r="J127" s="2">
        <v>1120900</v>
      </c>
      <c r="K127" s="49"/>
    </row>
    <row r="128" spans="1:11" ht="29.25" customHeight="1" x14ac:dyDescent="0.25">
      <c r="A128" s="49" t="s">
        <v>270</v>
      </c>
      <c r="B128" s="49" t="s">
        <v>159</v>
      </c>
      <c r="C128" s="48">
        <v>45292</v>
      </c>
      <c r="D128" s="48">
        <v>46752</v>
      </c>
      <c r="E128" s="44" t="s">
        <v>5</v>
      </c>
      <c r="F128" s="47" t="s">
        <v>28</v>
      </c>
      <c r="G128" s="2">
        <f>SUM(G129:G131)</f>
        <v>2003701.8</v>
      </c>
      <c r="H128" s="2">
        <f t="shared" ref="H128:J128" si="33">SUM(H129:H131)</f>
        <v>417679.15</v>
      </c>
      <c r="I128" s="2">
        <f t="shared" si="33"/>
        <v>1925518.4700000002</v>
      </c>
      <c r="J128" s="2">
        <f t="shared" si="33"/>
        <v>6364435.8300000001</v>
      </c>
      <c r="K128" s="49" t="s">
        <v>169</v>
      </c>
    </row>
    <row r="129" spans="1:11" ht="43.5" customHeight="1" x14ac:dyDescent="0.25">
      <c r="A129" s="49"/>
      <c r="B129" s="49"/>
      <c r="C129" s="48"/>
      <c r="D129" s="48"/>
      <c r="E129" s="44" t="s">
        <v>7</v>
      </c>
      <c r="F129" s="47" t="s">
        <v>8</v>
      </c>
      <c r="G129" s="2">
        <v>0</v>
      </c>
      <c r="H129" s="2">
        <v>0</v>
      </c>
      <c r="I129" s="2">
        <v>0</v>
      </c>
      <c r="J129" s="2">
        <v>0</v>
      </c>
      <c r="K129" s="49"/>
    </row>
    <row r="130" spans="1:11" ht="43.5" customHeight="1" x14ac:dyDescent="0.25">
      <c r="A130" s="49"/>
      <c r="B130" s="49"/>
      <c r="C130" s="48"/>
      <c r="D130" s="48"/>
      <c r="E130" s="44" t="s">
        <v>9</v>
      </c>
      <c r="F130" s="47" t="s">
        <v>8</v>
      </c>
      <c r="G130" s="2">
        <v>0</v>
      </c>
      <c r="H130" s="2">
        <v>0</v>
      </c>
      <c r="I130" s="2">
        <v>0</v>
      </c>
      <c r="J130" s="2">
        <v>0</v>
      </c>
      <c r="K130" s="49"/>
    </row>
    <row r="131" spans="1:11" ht="29.25" customHeight="1" x14ac:dyDescent="0.25">
      <c r="A131" s="49"/>
      <c r="B131" s="49"/>
      <c r="C131" s="48"/>
      <c r="D131" s="48"/>
      <c r="E131" s="44" t="s">
        <v>10</v>
      </c>
      <c r="F131" s="47" t="s">
        <v>8</v>
      </c>
      <c r="G131" s="2">
        <f>350000+106336.98+133627.12+645850+367887.7+400000</f>
        <v>2003701.8</v>
      </c>
      <c r="H131" s="2">
        <f>167679.15+250000</f>
        <v>417679.15</v>
      </c>
      <c r="I131" s="2">
        <f>176341.75+1510659.62+238517.1</f>
        <v>1925518.4700000002</v>
      </c>
      <c r="J131" s="2">
        <f>1510659.62+4332140+521636.21</f>
        <v>6364435.8300000001</v>
      </c>
      <c r="K131" s="49"/>
    </row>
    <row r="132" spans="1:11" ht="22.5" customHeight="1" x14ac:dyDescent="0.25">
      <c r="A132" s="49" t="s">
        <v>329</v>
      </c>
      <c r="B132" s="49" t="s">
        <v>222</v>
      </c>
      <c r="C132" s="48">
        <v>45292</v>
      </c>
      <c r="D132" s="48">
        <v>45657</v>
      </c>
      <c r="E132" s="44" t="s">
        <v>5</v>
      </c>
      <c r="F132" s="47" t="s">
        <v>28</v>
      </c>
      <c r="G132" s="2">
        <f>SUM(G133:G135)</f>
        <v>80000</v>
      </c>
      <c r="H132" s="2">
        <f t="shared" ref="H132:J132" si="34">SUM(H133:H135)</f>
        <v>812809.97</v>
      </c>
      <c r="I132" s="2">
        <f t="shared" si="34"/>
        <v>0</v>
      </c>
      <c r="J132" s="2">
        <f t="shared" si="34"/>
        <v>0</v>
      </c>
      <c r="K132" s="49" t="s">
        <v>169</v>
      </c>
    </row>
    <row r="133" spans="1:11" ht="29.25" customHeight="1" x14ac:dyDescent="0.25">
      <c r="A133" s="49"/>
      <c r="B133" s="49"/>
      <c r="C133" s="48"/>
      <c r="D133" s="48"/>
      <c r="E133" s="44" t="s">
        <v>7</v>
      </c>
      <c r="F133" s="47" t="s">
        <v>8</v>
      </c>
      <c r="G133" s="2">
        <v>0</v>
      </c>
      <c r="H133" s="2">
        <v>0</v>
      </c>
      <c r="I133" s="2">
        <v>0</v>
      </c>
      <c r="J133" s="2">
        <v>0</v>
      </c>
      <c r="K133" s="49"/>
    </row>
    <row r="134" spans="1:11" ht="29.25" customHeight="1" x14ac:dyDescent="0.25">
      <c r="A134" s="49"/>
      <c r="B134" s="49"/>
      <c r="C134" s="48"/>
      <c r="D134" s="48"/>
      <c r="E134" s="44" t="s">
        <v>9</v>
      </c>
      <c r="F134" s="47" t="s">
        <v>8</v>
      </c>
      <c r="G134" s="2">
        <v>0</v>
      </c>
      <c r="H134" s="2">
        <v>0</v>
      </c>
      <c r="I134" s="2">
        <v>0</v>
      </c>
      <c r="J134" s="2">
        <v>0</v>
      </c>
      <c r="K134" s="49"/>
    </row>
    <row r="135" spans="1:11" ht="21" customHeight="1" x14ac:dyDescent="0.25">
      <c r="A135" s="49"/>
      <c r="B135" s="49"/>
      <c r="C135" s="48"/>
      <c r="D135" s="48"/>
      <c r="E135" s="44" t="s">
        <v>10</v>
      </c>
      <c r="F135" s="47" t="s">
        <v>8</v>
      </c>
      <c r="G135" s="2">
        <v>80000</v>
      </c>
      <c r="H135" s="2">
        <v>812809.97</v>
      </c>
      <c r="I135" s="2">
        <v>0</v>
      </c>
      <c r="J135" s="2">
        <v>0</v>
      </c>
      <c r="K135" s="49"/>
    </row>
    <row r="136" spans="1:11" ht="34.5" customHeight="1" x14ac:dyDescent="0.25">
      <c r="A136" s="49" t="s">
        <v>271</v>
      </c>
      <c r="B136" s="49" t="s">
        <v>171</v>
      </c>
      <c r="C136" s="48">
        <v>45292</v>
      </c>
      <c r="D136" s="48">
        <v>46022</v>
      </c>
      <c r="E136" s="44" t="s">
        <v>5</v>
      </c>
      <c r="F136" s="47" t="s">
        <v>28</v>
      </c>
      <c r="G136" s="2">
        <f>SUM(G137:G139)</f>
        <v>2073417.7799999998</v>
      </c>
      <c r="H136" s="2">
        <f t="shared" ref="H136:J136" si="35">SUM(H137:H139)</f>
        <v>1608292.42</v>
      </c>
      <c r="I136" s="2">
        <f t="shared" si="35"/>
        <v>0</v>
      </c>
      <c r="J136" s="2">
        <f t="shared" si="35"/>
        <v>0</v>
      </c>
      <c r="K136" s="49" t="s">
        <v>169</v>
      </c>
    </row>
    <row r="137" spans="1:11" ht="34.5" customHeight="1" x14ac:dyDescent="0.25">
      <c r="A137" s="49"/>
      <c r="B137" s="49"/>
      <c r="C137" s="48"/>
      <c r="D137" s="48"/>
      <c r="E137" s="44" t="s">
        <v>7</v>
      </c>
      <c r="F137" s="47" t="s">
        <v>8</v>
      </c>
      <c r="G137" s="2">
        <v>0</v>
      </c>
      <c r="H137" s="2">
        <v>0</v>
      </c>
      <c r="I137" s="2">
        <v>0</v>
      </c>
      <c r="J137" s="2">
        <v>0</v>
      </c>
      <c r="K137" s="49"/>
    </row>
    <row r="138" spans="1:11" ht="34.5" customHeight="1" x14ac:dyDescent="0.25">
      <c r="A138" s="49"/>
      <c r="B138" s="49"/>
      <c r="C138" s="48"/>
      <c r="D138" s="48"/>
      <c r="E138" s="44" t="s">
        <v>9</v>
      </c>
      <c r="F138" s="47" t="s">
        <v>8</v>
      </c>
      <c r="G138" s="2">
        <v>0</v>
      </c>
      <c r="H138" s="2">
        <v>0</v>
      </c>
      <c r="I138" s="2">
        <v>0</v>
      </c>
      <c r="J138" s="2">
        <v>0</v>
      </c>
      <c r="K138" s="49"/>
    </row>
    <row r="139" spans="1:11" ht="34.5" customHeight="1" x14ac:dyDescent="0.25">
      <c r="A139" s="49"/>
      <c r="B139" s="49"/>
      <c r="C139" s="48"/>
      <c r="D139" s="48"/>
      <c r="E139" s="44" t="s">
        <v>10</v>
      </c>
      <c r="F139" s="47" t="s">
        <v>8</v>
      </c>
      <c r="G139" s="2">
        <f>1349716.2+196973.5+99400+150000+498528.08-291200+70000</f>
        <v>2073417.7799999998</v>
      </c>
      <c r="H139" s="2">
        <f>985205+623087.42</f>
        <v>1608292.42</v>
      </c>
      <c r="I139" s="2">
        <v>0</v>
      </c>
      <c r="J139" s="2">
        <v>0</v>
      </c>
      <c r="K139" s="49"/>
    </row>
    <row r="140" spans="1:11" ht="36.75" customHeight="1" x14ac:dyDescent="0.25">
      <c r="A140" s="49" t="s">
        <v>272</v>
      </c>
      <c r="B140" s="49" t="s">
        <v>172</v>
      </c>
      <c r="C140" s="48">
        <v>45292</v>
      </c>
      <c r="D140" s="48">
        <v>46387</v>
      </c>
      <c r="E140" s="44" t="s">
        <v>5</v>
      </c>
      <c r="F140" s="47" t="s">
        <v>28</v>
      </c>
      <c r="G140" s="2">
        <f>SUM(G141:G143)</f>
        <v>4520391.93</v>
      </c>
      <c r="H140" s="2">
        <f t="shared" ref="H140:J140" si="36">SUM(H141:H143)</f>
        <v>1518751.75</v>
      </c>
      <c r="I140" s="2">
        <f t="shared" si="36"/>
        <v>985205</v>
      </c>
      <c r="J140" s="2">
        <f t="shared" si="36"/>
        <v>0</v>
      </c>
      <c r="K140" s="49" t="s">
        <v>169</v>
      </c>
    </row>
    <row r="141" spans="1:11" ht="36.75" customHeight="1" x14ac:dyDescent="0.25">
      <c r="A141" s="49"/>
      <c r="B141" s="49"/>
      <c r="C141" s="48"/>
      <c r="D141" s="48"/>
      <c r="E141" s="44" t="s">
        <v>7</v>
      </c>
      <c r="F141" s="47" t="s">
        <v>8</v>
      </c>
      <c r="G141" s="2">
        <v>0</v>
      </c>
      <c r="H141" s="2">
        <v>0</v>
      </c>
      <c r="I141" s="2">
        <v>0</v>
      </c>
      <c r="J141" s="2">
        <v>0</v>
      </c>
      <c r="K141" s="49"/>
    </row>
    <row r="142" spans="1:11" ht="36.75" customHeight="1" x14ac:dyDescent="0.25">
      <c r="A142" s="49"/>
      <c r="B142" s="49"/>
      <c r="C142" s="48"/>
      <c r="D142" s="48"/>
      <c r="E142" s="44" t="s">
        <v>9</v>
      </c>
      <c r="F142" s="47" t="s">
        <v>8</v>
      </c>
      <c r="G142" s="2">
        <v>0</v>
      </c>
      <c r="H142" s="2">
        <v>0</v>
      </c>
      <c r="I142" s="2">
        <v>0</v>
      </c>
      <c r="J142" s="2">
        <v>0</v>
      </c>
      <c r="K142" s="49"/>
    </row>
    <row r="143" spans="1:11" ht="36.75" customHeight="1" x14ac:dyDescent="0.25">
      <c r="A143" s="49"/>
      <c r="B143" s="49"/>
      <c r="C143" s="48"/>
      <c r="D143" s="48"/>
      <c r="E143" s="44" t="s">
        <v>10</v>
      </c>
      <c r="F143" s="47" t="s">
        <v>8</v>
      </c>
      <c r="G143" s="2">
        <f>2626687.55+181908.44+457000+8000+500000+325602.42+712393.52-291200</f>
        <v>4520391.93</v>
      </c>
      <c r="H143" s="2">
        <f>1013800+504951.75</f>
        <v>1518751.75</v>
      </c>
      <c r="I143" s="2">
        <v>985205</v>
      </c>
      <c r="J143" s="2">
        <v>0</v>
      </c>
      <c r="K143" s="49"/>
    </row>
    <row r="144" spans="1:11" ht="27" customHeight="1" x14ac:dyDescent="0.25">
      <c r="A144" s="49" t="s">
        <v>273</v>
      </c>
      <c r="B144" s="49" t="s">
        <v>173</v>
      </c>
      <c r="C144" s="48">
        <v>45292</v>
      </c>
      <c r="D144" s="48">
        <v>46752</v>
      </c>
      <c r="E144" s="44" t="s">
        <v>5</v>
      </c>
      <c r="F144" s="47" t="s">
        <v>28</v>
      </c>
      <c r="G144" s="2">
        <f>SUM(G145:G147)</f>
        <v>792651.2</v>
      </c>
      <c r="H144" s="2">
        <f t="shared" ref="H144:J144" si="37">SUM(H145:H147)</f>
        <v>0</v>
      </c>
      <c r="I144" s="2">
        <f t="shared" si="37"/>
        <v>2899557.13</v>
      </c>
      <c r="J144" s="2">
        <f t="shared" si="37"/>
        <v>5487853.3700000001</v>
      </c>
      <c r="K144" s="49" t="s">
        <v>169</v>
      </c>
    </row>
    <row r="145" spans="1:11" ht="39" customHeight="1" x14ac:dyDescent="0.25">
      <c r="A145" s="49"/>
      <c r="B145" s="49"/>
      <c r="C145" s="48"/>
      <c r="D145" s="48"/>
      <c r="E145" s="44" t="s">
        <v>7</v>
      </c>
      <c r="F145" s="47" t="s">
        <v>8</v>
      </c>
      <c r="G145" s="2">
        <v>0</v>
      </c>
      <c r="H145" s="2">
        <v>0</v>
      </c>
      <c r="I145" s="2">
        <v>0</v>
      </c>
      <c r="J145" s="2">
        <v>0</v>
      </c>
      <c r="K145" s="49"/>
    </row>
    <row r="146" spans="1:11" ht="39" customHeight="1" x14ac:dyDescent="0.25">
      <c r="A146" s="49"/>
      <c r="B146" s="49"/>
      <c r="C146" s="48"/>
      <c r="D146" s="48"/>
      <c r="E146" s="44" t="s">
        <v>9</v>
      </c>
      <c r="F146" s="47" t="s">
        <v>8</v>
      </c>
      <c r="G146" s="2">
        <v>0</v>
      </c>
      <c r="H146" s="2">
        <v>0</v>
      </c>
      <c r="I146" s="2">
        <v>0</v>
      </c>
      <c r="J146" s="2">
        <v>0</v>
      </c>
      <c r="K146" s="49"/>
    </row>
    <row r="147" spans="1:11" ht="27" customHeight="1" x14ac:dyDescent="0.25">
      <c r="A147" s="49"/>
      <c r="B147" s="49"/>
      <c r="C147" s="48"/>
      <c r="D147" s="48"/>
      <c r="E147" s="44" t="s">
        <v>10</v>
      </c>
      <c r="F147" s="47" t="s">
        <v>8</v>
      </c>
      <c r="G147" s="2">
        <f>177651.2+500000+115000</f>
        <v>792651.2</v>
      </c>
      <c r="H147" s="2">
        <v>0</v>
      </c>
      <c r="I147" s="2">
        <v>2899557.13</v>
      </c>
      <c r="J147" s="2">
        <f>1885757.13+985205+2616891.24</f>
        <v>5487853.3700000001</v>
      </c>
      <c r="K147" s="49"/>
    </row>
    <row r="148" spans="1:11" ht="27" customHeight="1" x14ac:dyDescent="0.25">
      <c r="A148" s="49" t="s">
        <v>354</v>
      </c>
      <c r="B148" s="49" t="s">
        <v>274</v>
      </c>
      <c r="C148" s="48">
        <v>46023</v>
      </c>
      <c r="D148" s="48">
        <v>46387</v>
      </c>
      <c r="E148" s="44" t="s">
        <v>5</v>
      </c>
      <c r="F148" s="47" t="s">
        <v>28</v>
      </c>
      <c r="G148" s="2">
        <f>SUM(G149:G151)</f>
        <v>0</v>
      </c>
      <c r="H148" s="2">
        <f t="shared" ref="H148:J148" si="38">SUM(H149:H151)</f>
        <v>800000</v>
      </c>
      <c r="I148" s="2">
        <f t="shared" si="38"/>
        <v>150000</v>
      </c>
      <c r="J148" s="2">
        <f t="shared" si="38"/>
        <v>0</v>
      </c>
      <c r="K148" s="49" t="s">
        <v>169</v>
      </c>
    </row>
    <row r="149" spans="1:11" ht="27" customHeight="1" x14ac:dyDescent="0.25">
      <c r="A149" s="49"/>
      <c r="B149" s="49"/>
      <c r="C149" s="48"/>
      <c r="D149" s="48"/>
      <c r="E149" s="44" t="s">
        <v>7</v>
      </c>
      <c r="F149" s="47" t="s">
        <v>8</v>
      </c>
      <c r="G149" s="2">
        <v>0</v>
      </c>
      <c r="H149" s="2">
        <v>0</v>
      </c>
      <c r="I149" s="2">
        <v>0</v>
      </c>
      <c r="J149" s="2">
        <v>0</v>
      </c>
      <c r="K149" s="49"/>
    </row>
    <row r="150" spans="1:11" ht="27" customHeight="1" x14ac:dyDescent="0.25">
      <c r="A150" s="49"/>
      <c r="B150" s="49"/>
      <c r="C150" s="48"/>
      <c r="D150" s="48"/>
      <c r="E150" s="44" t="s">
        <v>9</v>
      </c>
      <c r="F150" s="47" t="s">
        <v>8</v>
      </c>
      <c r="G150" s="2">
        <v>0</v>
      </c>
      <c r="H150" s="2">
        <v>0</v>
      </c>
      <c r="I150" s="2">
        <v>0</v>
      </c>
      <c r="J150" s="2">
        <v>0</v>
      </c>
      <c r="K150" s="49"/>
    </row>
    <row r="151" spans="1:11" ht="27" customHeight="1" x14ac:dyDescent="0.25">
      <c r="A151" s="49"/>
      <c r="B151" s="49"/>
      <c r="C151" s="48"/>
      <c r="D151" s="48"/>
      <c r="E151" s="44" t="s">
        <v>10</v>
      </c>
      <c r="F151" s="47" t="s">
        <v>8</v>
      </c>
      <c r="G151" s="2">
        <v>0</v>
      </c>
      <c r="H151" s="2">
        <v>800000</v>
      </c>
      <c r="I151" s="2">
        <v>150000</v>
      </c>
      <c r="J151" s="2">
        <v>0</v>
      </c>
      <c r="K151" s="49"/>
    </row>
    <row r="152" spans="1:11" ht="27" customHeight="1" x14ac:dyDescent="0.25">
      <c r="A152" s="49" t="s">
        <v>275</v>
      </c>
      <c r="B152" s="49" t="s">
        <v>174</v>
      </c>
      <c r="C152" s="48">
        <v>45292</v>
      </c>
      <c r="D152" s="48">
        <v>46752</v>
      </c>
      <c r="E152" s="44" t="s">
        <v>5</v>
      </c>
      <c r="F152" s="47" t="s">
        <v>28</v>
      </c>
      <c r="G152" s="2">
        <f>SUM(G153:G155)</f>
        <v>1061500</v>
      </c>
      <c r="H152" s="2">
        <f t="shared" ref="H152:J152" si="39">SUM(H153:H155)</f>
        <v>0</v>
      </c>
      <c r="I152" s="2">
        <f t="shared" ref="I152" si="40">SUM(I153:I155)</f>
        <v>0</v>
      </c>
      <c r="J152" s="2">
        <f t="shared" si="39"/>
        <v>5127812.3999999994</v>
      </c>
      <c r="K152" s="49" t="s">
        <v>169</v>
      </c>
    </row>
    <row r="153" spans="1:11" ht="49.5" customHeight="1" x14ac:dyDescent="0.25">
      <c r="A153" s="49"/>
      <c r="B153" s="49"/>
      <c r="C153" s="48"/>
      <c r="D153" s="48"/>
      <c r="E153" s="44" t="s">
        <v>7</v>
      </c>
      <c r="F153" s="47" t="s">
        <v>8</v>
      </c>
      <c r="G153" s="2">
        <v>0</v>
      </c>
      <c r="H153" s="2">
        <v>0</v>
      </c>
      <c r="I153" s="2">
        <v>0</v>
      </c>
      <c r="J153" s="2">
        <v>0</v>
      </c>
      <c r="K153" s="49"/>
    </row>
    <row r="154" spans="1:11" ht="49.5" customHeight="1" x14ac:dyDescent="0.25">
      <c r="A154" s="49"/>
      <c r="B154" s="49"/>
      <c r="C154" s="48"/>
      <c r="D154" s="48"/>
      <c r="E154" s="44" t="s">
        <v>9</v>
      </c>
      <c r="F154" s="47" t="s">
        <v>8</v>
      </c>
      <c r="G154" s="2">
        <v>0</v>
      </c>
      <c r="H154" s="2">
        <v>0</v>
      </c>
      <c r="I154" s="2">
        <v>0</v>
      </c>
      <c r="J154" s="2">
        <v>0</v>
      </c>
      <c r="K154" s="49"/>
    </row>
    <row r="155" spans="1:11" ht="27" customHeight="1" x14ac:dyDescent="0.25">
      <c r="A155" s="49"/>
      <c r="B155" s="49"/>
      <c r="C155" s="48"/>
      <c r="D155" s="48"/>
      <c r="E155" s="44" t="s">
        <v>10</v>
      </c>
      <c r="F155" s="47" t="s">
        <v>8</v>
      </c>
      <c r="G155" s="2">
        <f>561500+500000</f>
        <v>1061500</v>
      </c>
      <c r="H155" s="2">
        <v>0</v>
      </c>
      <c r="I155" s="2">
        <v>0</v>
      </c>
      <c r="J155" s="2">
        <f>1217311.07+1102448.73+838466.94+1000000+969585.66</f>
        <v>5127812.3999999994</v>
      </c>
      <c r="K155" s="49"/>
    </row>
    <row r="156" spans="1:11" ht="21" customHeight="1" x14ac:dyDescent="0.25">
      <c r="A156" s="49" t="s">
        <v>276</v>
      </c>
      <c r="B156" s="49" t="s">
        <v>223</v>
      </c>
      <c r="C156" s="48">
        <v>45292</v>
      </c>
      <c r="D156" s="48">
        <v>46752</v>
      </c>
      <c r="E156" s="44" t="s">
        <v>5</v>
      </c>
      <c r="F156" s="47" t="s">
        <v>28</v>
      </c>
      <c r="G156" s="2">
        <f>SUM(G157:G159)</f>
        <v>200000</v>
      </c>
      <c r="H156" s="2">
        <f t="shared" ref="H156:J156" si="41">SUM(H157:H159)</f>
        <v>1701224.1</v>
      </c>
      <c r="I156" s="2">
        <f t="shared" si="41"/>
        <v>0</v>
      </c>
      <c r="J156" s="2">
        <f t="shared" si="41"/>
        <v>3182600</v>
      </c>
      <c r="K156" s="49" t="s">
        <v>169</v>
      </c>
    </row>
    <row r="157" spans="1:11" ht="27" customHeight="1" x14ac:dyDescent="0.25">
      <c r="A157" s="49"/>
      <c r="B157" s="49"/>
      <c r="C157" s="48"/>
      <c r="D157" s="48"/>
      <c r="E157" s="44" t="s">
        <v>7</v>
      </c>
      <c r="F157" s="47" t="s">
        <v>8</v>
      </c>
      <c r="G157" s="2">
        <v>0</v>
      </c>
      <c r="H157" s="2">
        <v>0</v>
      </c>
      <c r="I157" s="2">
        <v>0</v>
      </c>
      <c r="J157" s="2">
        <v>0</v>
      </c>
      <c r="K157" s="49"/>
    </row>
    <row r="158" spans="1:11" ht="27" customHeight="1" x14ac:dyDescent="0.25">
      <c r="A158" s="49"/>
      <c r="B158" s="49"/>
      <c r="C158" s="48"/>
      <c r="D158" s="48"/>
      <c r="E158" s="44" t="s">
        <v>9</v>
      </c>
      <c r="F158" s="47" t="s">
        <v>8</v>
      </c>
      <c r="G158" s="2">
        <v>0</v>
      </c>
      <c r="H158" s="2">
        <v>0</v>
      </c>
      <c r="I158" s="2">
        <v>0</v>
      </c>
      <c r="J158" s="2">
        <v>0</v>
      </c>
      <c r="K158" s="49"/>
    </row>
    <row r="159" spans="1:11" ht="21" customHeight="1" x14ac:dyDescent="0.25">
      <c r="A159" s="49"/>
      <c r="B159" s="49"/>
      <c r="C159" s="48"/>
      <c r="D159" s="48"/>
      <c r="E159" s="44" t="s">
        <v>10</v>
      </c>
      <c r="F159" s="47" t="s">
        <v>8</v>
      </c>
      <c r="G159" s="2">
        <v>200000</v>
      </c>
      <c r="H159" s="2">
        <f>682600+50000+968624.1</f>
        <v>1701224.1</v>
      </c>
      <c r="I159" s="2">
        <v>0</v>
      </c>
      <c r="J159" s="2">
        <v>3182600</v>
      </c>
      <c r="K159" s="49"/>
    </row>
    <row r="160" spans="1:11" ht="23.25" customHeight="1" x14ac:dyDescent="0.25">
      <c r="A160" s="49" t="s">
        <v>330</v>
      </c>
      <c r="B160" s="49" t="s">
        <v>236</v>
      </c>
      <c r="C160" s="48">
        <v>45292</v>
      </c>
      <c r="D160" s="48">
        <v>46752</v>
      </c>
      <c r="E160" s="44" t="s">
        <v>5</v>
      </c>
      <c r="F160" s="47" t="s">
        <v>28</v>
      </c>
      <c r="G160" s="2">
        <f>SUM(G161:G163)</f>
        <v>400000</v>
      </c>
      <c r="H160" s="2">
        <f t="shared" ref="H160:J160" si="42">SUM(H161:H163)</f>
        <v>2729542.19</v>
      </c>
      <c r="I160" s="2">
        <f t="shared" si="42"/>
        <v>1391245</v>
      </c>
      <c r="J160" s="2">
        <f t="shared" si="42"/>
        <v>2571426.65</v>
      </c>
      <c r="K160" s="49" t="s">
        <v>169</v>
      </c>
    </row>
    <row r="161" spans="1:11" ht="31.5" customHeight="1" x14ac:dyDescent="0.25">
      <c r="A161" s="49"/>
      <c r="B161" s="49"/>
      <c r="C161" s="48"/>
      <c r="D161" s="48"/>
      <c r="E161" s="44" t="s">
        <v>7</v>
      </c>
      <c r="F161" s="47" t="s">
        <v>8</v>
      </c>
      <c r="G161" s="2">
        <v>0</v>
      </c>
      <c r="H161" s="2">
        <v>0</v>
      </c>
      <c r="I161" s="2">
        <v>0</v>
      </c>
      <c r="J161" s="2">
        <v>0</v>
      </c>
      <c r="K161" s="49"/>
    </row>
    <row r="162" spans="1:11" ht="31.5" customHeight="1" x14ac:dyDescent="0.25">
      <c r="A162" s="49"/>
      <c r="B162" s="49"/>
      <c r="C162" s="48"/>
      <c r="D162" s="48"/>
      <c r="E162" s="44" t="s">
        <v>9</v>
      </c>
      <c r="F162" s="47" t="s">
        <v>8</v>
      </c>
      <c r="G162" s="2">
        <v>0</v>
      </c>
      <c r="H162" s="2">
        <v>0</v>
      </c>
      <c r="I162" s="2">
        <v>0</v>
      </c>
      <c r="J162" s="2">
        <v>0</v>
      </c>
      <c r="K162" s="49"/>
    </row>
    <row r="163" spans="1:11" ht="31.5" customHeight="1" x14ac:dyDescent="0.25">
      <c r="A163" s="49"/>
      <c r="B163" s="49"/>
      <c r="C163" s="48"/>
      <c r="D163" s="48"/>
      <c r="E163" s="44" t="s">
        <v>10</v>
      </c>
      <c r="F163" s="47" t="s">
        <v>8</v>
      </c>
      <c r="G163" s="2">
        <v>400000</v>
      </c>
      <c r="H163" s="2">
        <f>150000+1979542.19+600000</f>
        <v>2729542.19</v>
      </c>
      <c r="I163" s="2">
        <v>1391245</v>
      </c>
      <c r="J163" s="2">
        <v>2571426.65</v>
      </c>
      <c r="K163" s="49"/>
    </row>
    <row r="164" spans="1:11" ht="27" customHeight="1" x14ac:dyDescent="0.25">
      <c r="A164" s="49" t="s">
        <v>277</v>
      </c>
      <c r="B164" s="49" t="s">
        <v>175</v>
      </c>
      <c r="C164" s="48">
        <v>45292</v>
      </c>
      <c r="D164" s="48">
        <v>46752</v>
      </c>
      <c r="E164" s="44" t="s">
        <v>5</v>
      </c>
      <c r="F164" s="47" t="s">
        <v>28</v>
      </c>
      <c r="G164" s="2">
        <f>SUM(G165:G167)</f>
        <v>579799.6</v>
      </c>
      <c r="H164" s="2">
        <f t="shared" ref="H164:J164" si="43">SUM(H165:H167)</f>
        <v>451607.22</v>
      </c>
      <c r="I164" s="2">
        <f t="shared" ref="I164" si="44">SUM(I165:I167)</f>
        <v>0</v>
      </c>
      <c r="J164" s="2">
        <f t="shared" si="43"/>
        <v>655825</v>
      </c>
      <c r="K164" s="49" t="s">
        <v>169</v>
      </c>
    </row>
    <row r="165" spans="1:11" ht="32.25" customHeight="1" x14ac:dyDescent="0.25">
      <c r="A165" s="49"/>
      <c r="B165" s="49"/>
      <c r="C165" s="48"/>
      <c r="D165" s="48"/>
      <c r="E165" s="44" t="s">
        <v>7</v>
      </c>
      <c r="F165" s="47" t="s">
        <v>8</v>
      </c>
      <c r="G165" s="2">
        <v>0</v>
      </c>
      <c r="H165" s="2">
        <v>0</v>
      </c>
      <c r="I165" s="2">
        <v>0</v>
      </c>
      <c r="J165" s="2">
        <v>0</v>
      </c>
      <c r="K165" s="49"/>
    </row>
    <row r="166" spans="1:11" ht="32.25" customHeight="1" x14ac:dyDescent="0.25">
      <c r="A166" s="49"/>
      <c r="B166" s="49"/>
      <c r="C166" s="48"/>
      <c r="D166" s="48"/>
      <c r="E166" s="44" t="s">
        <v>9</v>
      </c>
      <c r="F166" s="47" t="s">
        <v>8</v>
      </c>
      <c r="G166" s="2">
        <v>0</v>
      </c>
      <c r="H166" s="2">
        <v>0</v>
      </c>
      <c r="I166" s="2">
        <v>0</v>
      </c>
      <c r="J166" s="2">
        <v>0</v>
      </c>
      <c r="K166" s="49"/>
    </row>
    <row r="167" spans="1:11" ht="27" customHeight="1" x14ac:dyDescent="0.25">
      <c r="A167" s="49"/>
      <c r="B167" s="49"/>
      <c r="C167" s="48"/>
      <c r="D167" s="48"/>
      <c r="E167" s="44" t="s">
        <v>10</v>
      </c>
      <c r="F167" s="47" t="s">
        <v>8</v>
      </c>
      <c r="G167" s="2">
        <f>44000+136187.97+162182.8+157485.86+25000+54942.97</f>
        <v>579799.6</v>
      </c>
      <c r="H167" s="2">
        <f>250000+201607.22</f>
        <v>451607.22</v>
      </c>
      <c r="I167" s="2">
        <v>0</v>
      </c>
      <c r="J167" s="2">
        <v>655825</v>
      </c>
      <c r="K167" s="49"/>
    </row>
    <row r="168" spans="1:11" ht="27" customHeight="1" x14ac:dyDescent="0.25">
      <c r="A168" s="49" t="s">
        <v>278</v>
      </c>
      <c r="B168" s="49" t="s">
        <v>176</v>
      </c>
      <c r="C168" s="48">
        <v>45292</v>
      </c>
      <c r="D168" s="48">
        <v>46387</v>
      </c>
      <c r="E168" s="44" t="s">
        <v>5</v>
      </c>
      <c r="F168" s="47" t="s">
        <v>28</v>
      </c>
      <c r="G168" s="2">
        <f>SUM(G169:G171)</f>
        <v>2767024.83</v>
      </c>
      <c r="H168" s="2">
        <f t="shared" ref="H168:J168" si="45">SUM(H169:H171)</f>
        <v>449446.79</v>
      </c>
      <c r="I168" s="2">
        <f t="shared" si="45"/>
        <v>738990</v>
      </c>
      <c r="J168" s="2">
        <f t="shared" si="45"/>
        <v>0</v>
      </c>
      <c r="K168" s="49" t="s">
        <v>169</v>
      </c>
    </row>
    <row r="169" spans="1:11" ht="37.5" customHeight="1" x14ac:dyDescent="0.25">
      <c r="A169" s="49"/>
      <c r="B169" s="49"/>
      <c r="C169" s="48"/>
      <c r="D169" s="48"/>
      <c r="E169" s="44" t="s">
        <v>7</v>
      </c>
      <c r="F169" s="47" t="s">
        <v>8</v>
      </c>
      <c r="G169" s="2">
        <v>0</v>
      </c>
      <c r="H169" s="2">
        <v>0</v>
      </c>
      <c r="I169" s="2">
        <v>0</v>
      </c>
      <c r="J169" s="2">
        <v>0</v>
      </c>
      <c r="K169" s="49"/>
    </row>
    <row r="170" spans="1:11" ht="37.5" customHeight="1" x14ac:dyDescent="0.25">
      <c r="A170" s="49"/>
      <c r="B170" s="49"/>
      <c r="C170" s="48"/>
      <c r="D170" s="48"/>
      <c r="E170" s="44" t="s">
        <v>9</v>
      </c>
      <c r="F170" s="47" t="s">
        <v>8</v>
      </c>
      <c r="G170" s="2">
        <v>0</v>
      </c>
      <c r="H170" s="2">
        <v>0</v>
      </c>
      <c r="I170" s="2">
        <v>0</v>
      </c>
      <c r="J170" s="2">
        <v>0</v>
      </c>
      <c r="K170" s="49"/>
    </row>
    <row r="171" spans="1:11" ht="27" customHeight="1" x14ac:dyDescent="0.25">
      <c r="A171" s="49"/>
      <c r="B171" s="49"/>
      <c r="C171" s="48"/>
      <c r="D171" s="48"/>
      <c r="E171" s="44" t="s">
        <v>10</v>
      </c>
      <c r="F171" s="47" t="s">
        <v>8</v>
      </c>
      <c r="G171" s="2">
        <f>2640722.54+127810.45-1508.16</f>
        <v>2767024.83</v>
      </c>
      <c r="H171" s="2">
        <f>371672.36+77774.43</f>
        <v>449446.79</v>
      </c>
      <c r="I171" s="2">
        <v>738990</v>
      </c>
      <c r="J171" s="2">
        <v>0</v>
      </c>
      <c r="K171" s="49"/>
    </row>
    <row r="172" spans="1:11" ht="33" customHeight="1" x14ac:dyDescent="0.25">
      <c r="A172" s="49" t="s">
        <v>339</v>
      </c>
      <c r="B172" s="49" t="s">
        <v>177</v>
      </c>
      <c r="C172" s="48">
        <v>45292</v>
      </c>
      <c r="D172" s="48">
        <v>46752</v>
      </c>
      <c r="E172" s="44" t="s">
        <v>5</v>
      </c>
      <c r="F172" s="47" t="s">
        <v>28</v>
      </c>
      <c r="G172" s="2">
        <f>SUM(G173:G175)</f>
        <v>3350150</v>
      </c>
      <c r="H172" s="2">
        <f t="shared" ref="H172:J172" si="46">SUM(H173:H175)</f>
        <v>400000</v>
      </c>
      <c r="I172" s="2">
        <f t="shared" ref="I172" si="47">SUM(I173:I175)</f>
        <v>0</v>
      </c>
      <c r="J172" s="2">
        <f t="shared" si="46"/>
        <v>682600</v>
      </c>
      <c r="K172" s="49" t="s">
        <v>169</v>
      </c>
    </row>
    <row r="173" spans="1:11" ht="33" customHeight="1" x14ac:dyDescent="0.25">
      <c r="A173" s="49"/>
      <c r="B173" s="49"/>
      <c r="C173" s="48"/>
      <c r="D173" s="48"/>
      <c r="E173" s="44" t="s">
        <v>7</v>
      </c>
      <c r="F173" s="47" t="s">
        <v>8</v>
      </c>
      <c r="G173" s="2">
        <v>0</v>
      </c>
      <c r="H173" s="2">
        <v>0</v>
      </c>
      <c r="I173" s="2">
        <v>0</v>
      </c>
      <c r="J173" s="2">
        <v>0</v>
      </c>
      <c r="K173" s="49"/>
    </row>
    <row r="174" spans="1:11" ht="33" customHeight="1" x14ac:dyDescent="0.25">
      <c r="A174" s="49"/>
      <c r="B174" s="49"/>
      <c r="C174" s="48"/>
      <c r="D174" s="48"/>
      <c r="E174" s="44" t="s">
        <v>9</v>
      </c>
      <c r="F174" s="47" t="s">
        <v>8</v>
      </c>
      <c r="G174" s="2">
        <v>0</v>
      </c>
      <c r="H174" s="2">
        <v>0</v>
      </c>
      <c r="I174" s="2">
        <v>0</v>
      </c>
      <c r="J174" s="2">
        <v>0</v>
      </c>
      <c r="K174" s="49"/>
    </row>
    <row r="175" spans="1:11" ht="33" customHeight="1" x14ac:dyDescent="0.25">
      <c r="A175" s="49"/>
      <c r="B175" s="49"/>
      <c r="C175" s="48"/>
      <c r="D175" s="48"/>
      <c r="E175" s="44" t="s">
        <v>10</v>
      </c>
      <c r="F175" s="47" t="s">
        <v>8</v>
      </c>
      <c r="G175" s="2">
        <f>2102342.54+500000+400000+347807.46</f>
        <v>3350150</v>
      </c>
      <c r="H175" s="2">
        <f>150000+250000</f>
        <v>400000</v>
      </c>
      <c r="I175" s="2">
        <v>0</v>
      </c>
      <c r="J175" s="2">
        <v>682600</v>
      </c>
      <c r="K175" s="49"/>
    </row>
    <row r="176" spans="1:11" ht="27" customHeight="1" x14ac:dyDescent="0.25">
      <c r="A176" s="49" t="s">
        <v>279</v>
      </c>
      <c r="B176" s="49" t="s">
        <v>204</v>
      </c>
      <c r="C176" s="48">
        <v>45292</v>
      </c>
      <c r="D176" s="48">
        <v>45657</v>
      </c>
      <c r="E176" s="44" t="s">
        <v>5</v>
      </c>
      <c r="F176" s="47" t="s">
        <v>28</v>
      </c>
      <c r="G176" s="2">
        <f>SUM(G177:G179)</f>
        <v>734757.78</v>
      </c>
      <c r="H176" s="2">
        <f t="shared" ref="H176:J176" si="48">SUM(H177:H179)</f>
        <v>0</v>
      </c>
      <c r="I176" s="2">
        <f t="shared" ref="I176" si="49">SUM(I177:I179)</f>
        <v>0</v>
      </c>
      <c r="J176" s="2">
        <f t="shared" si="48"/>
        <v>6699758.0300000003</v>
      </c>
      <c r="K176" s="49" t="s">
        <v>169</v>
      </c>
    </row>
    <row r="177" spans="1:11" ht="27" customHeight="1" x14ac:dyDescent="0.25">
      <c r="A177" s="49"/>
      <c r="B177" s="49"/>
      <c r="C177" s="48"/>
      <c r="D177" s="48"/>
      <c r="E177" s="44" t="s">
        <v>7</v>
      </c>
      <c r="F177" s="47" t="s">
        <v>8</v>
      </c>
      <c r="G177" s="2">
        <v>0</v>
      </c>
      <c r="H177" s="2">
        <v>0</v>
      </c>
      <c r="I177" s="2">
        <v>0</v>
      </c>
      <c r="J177" s="2">
        <v>0</v>
      </c>
      <c r="K177" s="49"/>
    </row>
    <row r="178" spans="1:11" ht="27" customHeight="1" x14ac:dyDescent="0.25">
      <c r="A178" s="49"/>
      <c r="B178" s="49"/>
      <c r="C178" s="48"/>
      <c r="D178" s="48"/>
      <c r="E178" s="44" t="s">
        <v>9</v>
      </c>
      <c r="F178" s="47" t="s">
        <v>8</v>
      </c>
      <c r="G178" s="2">
        <v>0</v>
      </c>
      <c r="H178" s="2">
        <v>0</v>
      </c>
      <c r="I178" s="2">
        <v>0</v>
      </c>
      <c r="J178" s="2">
        <v>0</v>
      </c>
      <c r="K178" s="49"/>
    </row>
    <row r="179" spans="1:11" ht="27" customHeight="1" x14ac:dyDescent="0.25">
      <c r="A179" s="49"/>
      <c r="B179" s="49"/>
      <c r="C179" s="48"/>
      <c r="D179" s="48"/>
      <c r="E179" s="44" t="s">
        <v>10</v>
      </c>
      <c r="F179" s="47" t="s">
        <v>8</v>
      </c>
      <c r="G179" s="2">
        <f>152357.78+582400</f>
        <v>734757.78</v>
      </c>
      <c r="H179" s="2">
        <v>0</v>
      </c>
      <c r="I179" s="2">
        <v>0</v>
      </c>
      <c r="J179" s="2">
        <f>1045205+1168370+4486183.03</f>
        <v>6699758.0300000003</v>
      </c>
      <c r="K179" s="49"/>
    </row>
    <row r="180" spans="1:11" ht="25.5" customHeight="1" x14ac:dyDescent="0.25">
      <c r="A180" s="49" t="s">
        <v>280</v>
      </c>
      <c r="B180" s="49" t="s">
        <v>105</v>
      </c>
      <c r="C180" s="48">
        <v>45658</v>
      </c>
      <c r="D180" s="48">
        <v>46022</v>
      </c>
      <c r="E180" s="44" t="s">
        <v>5</v>
      </c>
      <c r="F180" s="47" t="s">
        <v>28</v>
      </c>
      <c r="G180" s="2">
        <f>SUM(G181:G183)</f>
        <v>3007151.55</v>
      </c>
      <c r="H180" s="2">
        <f t="shared" ref="H180:J180" si="50">SUM(H181:H183)</f>
        <v>4419022.45</v>
      </c>
      <c r="I180" s="2">
        <f t="shared" ref="I180" si="51">SUM(I181:I183)</f>
        <v>0</v>
      </c>
      <c r="J180" s="2">
        <f t="shared" si="50"/>
        <v>0</v>
      </c>
      <c r="K180" s="49" t="s">
        <v>178</v>
      </c>
    </row>
    <row r="181" spans="1:11" ht="25.5" customHeight="1" x14ac:dyDescent="0.25">
      <c r="A181" s="49"/>
      <c r="B181" s="49"/>
      <c r="C181" s="48"/>
      <c r="D181" s="48"/>
      <c r="E181" s="44" t="s">
        <v>7</v>
      </c>
      <c r="F181" s="47" t="s">
        <v>8</v>
      </c>
      <c r="G181" s="2">
        <v>0</v>
      </c>
      <c r="H181" s="2">
        <v>0</v>
      </c>
      <c r="I181" s="2">
        <v>0</v>
      </c>
      <c r="J181" s="2">
        <v>0</v>
      </c>
      <c r="K181" s="49"/>
    </row>
    <row r="182" spans="1:11" ht="25.5" customHeight="1" x14ac:dyDescent="0.25">
      <c r="A182" s="49"/>
      <c r="B182" s="49"/>
      <c r="C182" s="48"/>
      <c r="D182" s="48"/>
      <c r="E182" s="44" t="s">
        <v>9</v>
      </c>
      <c r="F182" s="47" t="s">
        <v>8</v>
      </c>
      <c r="G182" s="2">
        <v>0</v>
      </c>
      <c r="H182" s="2">
        <v>0</v>
      </c>
      <c r="I182" s="2">
        <v>0</v>
      </c>
      <c r="J182" s="2">
        <v>0</v>
      </c>
      <c r="K182" s="49"/>
    </row>
    <row r="183" spans="1:11" ht="25.5" customHeight="1" x14ac:dyDescent="0.25">
      <c r="A183" s="49"/>
      <c r="B183" s="49"/>
      <c r="C183" s="48"/>
      <c r="D183" s="48"/>
      <c r="E183" s="44" t="s">
        <v>10</v>
      </c>
      <c r="F183" s="47" t="s">
        <v>8</v>
      </c>
      <c r="G183" s="2">
        <f>6413461.79-3368250.24-38060</f>
        <v>3007151.55</v>
      </c>
      <c r="H183" s="2">
        <f>2334277.6+1168370+916374.85</f>
        <v>4419022.45</v>
      </c>
      <c r="I183" s="2">
        <v>0</v>
      </c>
      <c r="J183" s="2">
        <v>0</v>
      </c>
      <c r="K183" s="49"/>
    </row>
    <row r="184" spans="1:11" ht="33" customHeight="1" x14ac:dyDescent="0.25">
      <c r="A184" s="49" t="s">
        <v>322</v>
      </c>
      <c r="B184" s="49" t="s">
        <v>110</v>
      </c>
      <c r="C184" s="48">
        <v>45292</v>
      </c>
      <c r="D184" s="48">
        <v>46752</v>
      </c>
      <c r="E184" s="44" t="s">
        <v>5</v>
      </c>
      <c r="F184" s="47" t="s">
        <v>28</v>
      </c>
      <c r="G184" s="13">
        <f>SUM(G185:G187)</f>
        <v>150300</v>
      </c>
      <c r="H184" s="13">
        <f t="shared" ref="H184:J184" si="52">SUM(H185:H187)</f>
        <v>369533.4</v>
      </c>
      <c r="I184" s="13">
        <f t="shared" ref="I184" si="53">SUM(I185:I187)</f>
        <v>0</v>
      </c>
      <c r="J184" s="13">
        <f t="shared" si="52"/>
        <v>433990</v>
      </c>
      <c r="K184" s="49" t="s">
        <v>224</v>
      </c>
    </row>
    <row r="185" spans="1:11" ht="35.25" customHeight="1" x14ac:dyDescent="0.25">
      <c r="A185" s="49"/>
      <c r="B185" s="49"/>
      <c r="C185" s="48"/>
      <c r="D185" s="48"/>
      <c r="E185" s="44" t="s">
        <v>7</v>
      </c>
      <c r="F185" s="47" t="s">
        <v>8</v>
      </c>
      <c r="G185" s="13">
        <v>0</v>
      </c>
      <c r="H185" s="13">
        <v>0</v>
      </c>
      <c r="I185" s="13">
        <v>0</v>
      </c>
      <c r="J185" s="13">
        <v>0</v>
      </c>
      <c r="K185" s="49"/>
    </row>
    <row r="186" spans="1:11" ht="35.25" customHeight="1" x14ac:dyDescent="0.25">
      <c r="A186" s="49"/>
      <c r="B186" s="49"/>
      <c r="C186" s="48"/>
      <c r="D186" s="48"/>
      <c r="E186" s="44" t="s">
        <v>9</v>
      </c>
      <c r="F186" s="47" t="s">
        <v>8</v>
      </c>
      <c r="G186" s="13">
        <v>0</v>
      </c>
      <c r="H186" s="13">
        <v>0</v>
      </c>
      <c r="I186" s="13">
        <v>0</v>
      </c>
      <c r="J186" s="13">
        <v>0</v>
      </c>
      <c r="K186" s="49"/>
    </row>
    <row r="187" spans="1:11" ht="29.25" customHeight="1" x14ac:dyDescent="0.25">
      <c r="A187" s="49"/>
      <c r="B187" s="49"/>
      <c r="C187" s="48"/>
      <c r="D187" s="48"/>
      <c r="E187" s="44" t="s">
        <v>10</v>
      </c>
      <c r="F187" s="47" t="s">
        <v>8</v>
      </c>
      <c r="G187" s="13">
        <v>150300</v>
      </c>
      <c r="H187" s="13">
        <f>192558.78+50000+126974.62</f>
        <v>369533.4</v>
      </c>
      <c r="I187" s="13">
        <v>0</v>
      </c>
      <c r="J187" s="13">
        <v>433990</v>
      </c>
      <c r="K187" s="49"/>
    </row>
    <row r="188" spans="1:11" ht="34.5" customHeight="1" x14ac:dyDescent="0.25">
      <c r="A188" s="49" t="s">
        <v>352</v>
      </c>
      <c r="B188" s="49" t="s">
        <v>142</v>
      </c>
      <c r="C188" s="48">
        <v>45292</v>
      </c>
      <c r="D188" s="48">
        <v>46752</v>
      </c>
      <c r="E188" s="44" t="s">
        <v>5</v>
      </c>
      <c r="F188" s="47" t="s">
        <v>28</v>
      </c>
      <c r="G188" s="13">
        <f>SUM(G189:G191)</f>
        <v>200000</v>
      </c>
      <c r="H188" s="13">
        <f t="shared" ref="H188:J188" si="54">SUM(H189:H191)</f>
        <v>2550000</v>
      </c>
      <c r="I188" s="13">
        <f t="shared" ref="I188" si="55">SUM(I189:I191)</f>
        <v>0</v>
      </c>
      <c r="J188" s="13">
        <f t="shared" si="54"/>
        <v>509200</v>
      </c>
      <c r="K188" s="49" t="s">
        <v>108</v>
      </c>
    </row>
    <row r="189" spans="1:11" ht="25.5" customHeight="1" x14ac:dyDescent="0.25">
      <c r="A189" s="49"/>
      <c r="B189" s="49"/>
      <c r="C189" s="48"/>
      <c r="D189" s="48"/>
      <c r="E189" s="44" t="s">
        <v>7</v>
      </c>
      <c r="F189" s="47" t="s">
        <v>8</v>
      </c>
      <c r="G189" s="13">
        <v>0</v>
      </c>
      <c r="H189" s="13">
        <v>0</v>
      </c>
      <c r="I189" s="13">
        <v>0</v>
      </c>
      <c r="J189" s="13">
        <v>0</v>
      </c>
      <c r="K189" s="49"/>
    </row>
    <row r="190" spans="1:11" ht="25.5" customHeight="1" x14ac:dyDescent="0.25">
      <c r="A190" s="49"/>
      <c r="B190" s="49"/>
      <c r="C190" s="48"/>
      <c r="D190" s="48"/>
      <c r="E190" s="44" t="s">
        <v>9</v>
      </c>
      <c r="F190" s="47" t="s">
        <v>8</v>
      </c>
      <c r="G190" s="13">
        <v>0</v>
      </c>
      <c r="H190" s="13">
        <v>0</v>
      </c>
      <c r="I190" s="13">
        <v>0</v>
      </c>
      <c r="J190" s="13">
        <v>0</v>
      </c>
      <c r="K190" s="49"/>
    </row>
    <row r="191" spans="1:11" ht="25.5" customHeight="1" x14ac:dyDescent="0.25">
      <c r="A191" s="49"/>
      <c r="B191" s="49"/>
      <c r="C191" s="48"/>
      <c r="D191" s="48"/>
      <c r="E191" s="44" t="s">
        <v>10</v>
      </c>
      <c r="F191" s="47" t="s">
        <v>8</v>
      </c>
      <c r="G191" s="13">
        <v>200000</v>
      </c>
      <c r="H191" s="13">
        <f>2500000+50000</f>
        <v>2550000</v>
      </c>
      <c r="I191" s="13">
        <v>0</v>
      </c>
      <c r="J191" s="13">
        <v>509200</v>
      </c>
      <c r="K191" s="49"/>
    </row>
    <row r="192" spans="1:11" ht="25.5" customHeight="1" x14ac:dyDescent="0.25">
      <c r="A192" s="49" t="s">
        <v>281</v>
      </c>
      <c r="B192" s="49" t="s">
        <v>282</v>
      </c>
      <c r="C192" s="48">
        <v>46388</v>
      </c>
      <c r="D192" s="48">
        <v>46752</v>
      </c>
      <c r="E192" s="44" t="s">
        <v>5</v>
      </c>
      <c r="F192" s="47" t="s">
        <v>28</v>
      </c>
      <c r="G192" s="13">
        <f>SUM(G193:G195)</f>
        <v>0</v>
      </c>
      <c r="H192" s="13">
        <f t="shared" ref="H192:J192" si="56">SUM(H193:H195)</f>
        <v>0</v>
      </c>
      <c r="I192" s="13">
        <f t="shared" si="56"/>
        <v>0</v>
      </c>
      <c r="J192" s="13">
        <f t="shared" si="56"/>
        <v>340900</v>
      </c>
      <c r="K192" s="49" t="s">
        <v>108</v>
      </c>
    </row>
    <row r="193" spans="1:11" ht="25.5" customHeight="1" x14ac:dyDescent="0.25">
      <c r="A193" s="49"/>
      <c r="B193" s="49"/>
      <c r="C193" s="48"/>
      <c r="D193" s="48"/>
      <c r="E193" s="44" t="s">
        <v>7</v>
      </c>
      <c r="F193" s="47" t="s">
        <v>8</v>
      </c>
      <c r="G193" s="13">
        <v>0</v>
      </c>
      <c r="H193" s="13">
        <v>0</v>
      </c>
      <c r="I193" s="13">
        <v>0</v>
      </c>
      <c r="J193" s="13">
        <v>0</v>
      </c>
      <c r="K193" s="49"/>
    </row>
    <row r="194" spans="1:11" ht="25.5" customHeight="1" x14ac:dyDescent="0.25">
      <c r="A194" s="49"/>
      <c r="B194" s="49"/>
      <c r="C194" s="48"/>
      <c r="D194" s="48"/>
      <c r="E194" s="44" t="s">
        <v>9</v>
      </c>
      <c r="F194" s="47" t="s">
        <v>8</v>
      </c>
      <c r="G194" s="13">
        <v>0</v>
      </c>
      <c r="H194" s="13">
        <v>0</v>
      </c>
      <c r="I194" s="13">
        <v>0</v>
      </c>
      <c r="J194" s="13">
        <v>0</v>
      </c>
      <c r="K194" s="49"/>
    </row>
    <row r="195" spans="1:11" ht="25.5" customHeight="1" x14ac:dyDescent="0.25">
      <c r="A195" s="49"/>
      <c r="B195" s="49"/>
      <c r="C195" s="48"/>
      <c r="D195" s="48"/>
      <c r="E195" s="44" t="s">
        <v>10</v>
      </c>
      <c r="F195" s="47" t="s">
        <v>8</v>
      </c>
      <c r="G195" s="13">
        <v>0</v>
      </c>
      <c r="H195" s="13">
        <v>0</v>
      </c>
      <c r="I195" s="13">
        <v>0</v>
      </c>
      <c r="J195" s="13">
        <v>340900</v>
      </c>
      <c r="K195" s="49"/>
    </row>
    <row r="196" spans="1:11" ht="25.5" customHeight="1" x14ac:dyDescent="0.25">
      <c r="A196" s="49" t="s">
        <v>283</v>
      </c>
      <c r="B196" s="49" t="s">
        <v>111</v>
      </c>
      <c r="C196" s="48">
        <v>46023</v>
      </c>
      <c r="D196" s="48">
        <v>46752</v>
      </c>
      <c r="E196" s="44" t="s">
        <v>5</v>
      </c>
      <c r="F196" s="47" t="s">
        <v>28</v>
      </c>
      <c r="G196" s="13">
        <f>SUM(G197:G199)</f>
        <v>0</v>
      </c>
      <c r="H196" s="13">
        <f t="shared" ref="H196" si="57">SUM(H197:H199)</f>
        <v>0</v>
      </c>
      <c r="I196" s="13">
        <f t="shared" ref="I196" si="58">SUM(I197:I199)</f>
        <v>1231075.25</v>
      </c>
      <c r="J196" s="13">
        <f t="shared" ref="J196" si="59">SUM(J197:J199)</f>
        <v>231300</v>
      </c>
      <c r="K196" s="49" t="s">
        <v>108</v>
      </c>
    </row>
    <row r="197" spans="1:11" ht="25.5" customHeight="1" x14ac:dyDescent="0.25">
      <c r="A197" s="49"/>
      <c r="B197" s="49"/>
      <c r="C197" s="48"/>
      <c r="D197" s="48"/>
      <c r="E197" s="44" t="s">
        <v>7</v>
      </c>
      <c r="F197" s="47" t="s">
        <v>8</v>
      </c>
      <c r="G197" s="13">
        <v>0</v>
      </c>
      <c r="H197" s="13">
        <v>0</v>
      </c>
      <c r="I197" s="13">
        <v>0</v>
      </c>
      <c r="J197" s="13">
        <v>0</v>
      </c>
      <c r="K197" s="49"/>
    </row>
    <row r="198" spans="1:11" ht="25.5" customHeight="1" x14ac:dyDescent="0.25">
      <c r="A198" s="49"/>
      <c r="B198" s="49"/>
      <c r="C198" s="48"/>
      <c r="D198" s="48"/>
      <c r="E198" s="44" t="s">
        <v>9</v>
      </c>
      <c r="F198" s="47" t="s">
        <v>8</v>
      </c>
      <c r="G198" s="13">
        <v>0</v>
      </c>
      <c r="H198" s="13">
        <v>0</v>
      </c>
      <c r="I198" s="13">
        <v>0</v>
      </c>
      <c r="J198" s="13">
        <v>0</v>
      </c>
      <c r="K198" s="49"/>
    </row>
    <row r="199" spans="1:11" ht="25.5" customHeight="1" x14ac:dyDescent="0.25">
      <c r="A199" s="49"/>
      <c r="B199" s="49"/>
      <c r="C199" s="48"/>
      <c r="D199" s="48"/>
      <c r="E199" s="44" t="s">
        <v>10</v>
      </c>
      <c r="F199" s="47" t="s">
        <v>8</v>
      </c>
      <c r="G199" s="13">
        <v>0</v>
      </c>
      <c r="H199" s="13">
        <v>0</v>
      </c>
      <c r="I199" s="13">
        <v>1231075.25</v>
      </c>
      <c r="J199" s="13">
        <v>231300</v>
      </c>
      <c r="K199" s="49"/>
    </row>
    <row r="200" spans="1:11" ht="30" customHeight="1" x14ac:dyDescent="0.25">
      <c r="A200" s="49" t="s">
        <v>235</v>
      </c>
      <c r="B200" s="49" t="s">
        <v>50</v>
      </c>
      <c r="C200" s="48">
        <v>45292</v>
      </c>
      <c r="D200" s="48">
        <v>45657</v>
      </c>
      <c r="E200" s="44" t="s">
        <v>5</v>
      </c>
      <c r="F200" s="47" t="s">
        <v>28</v>
      </c>
      <c r="G200" s="13">
        <f>SUM(G201:G203)</f>
        <v>1903098.3099999998</v>
      </c>
      <c r="H200" s="13">
        <f t="shared" ref="H200:J200" si="60">SUM(H201:H203)</f>
        <v>0</v>
      </c>
      <c r="I200" s="13">
        <f t="shared" ref="I200" si="61">SUM(I201:I203)</f>
        <v>0</v>
      </c>
      <c r="J200" s="13">
        <f t="shared" si="60"/>
        <v>0</v>
      </c>
      <c r="K200" s="49" t="s">
        <v>138</v>
      </c>
    </row>
    <row r="201" spans="1:11" ht="30" customHeight="1" x14ac:dyDescent="0.25">
      <c r="A201" s="49"/>
      <c r="B201" s="49"/>
      <c r="C201" s="48"/>
      <c r="D201" s="48"/>
      <c r="E201" s="44" t="s">
        <v>7</v>
      </c>
      <c r="F201" s="47" t="s">
        <v>8</v>
      </c>
      <c r="G201" s="13">
        <v>0</v>
      </c>
      <c r="H201" s="13">
        <v>0</v>
      </c>
      <c r="I201" s="13">
        <v>0</v>
      </c>
      <c r="J201" s="13">
        <v>0</v>
      </c>
      <c r="K201" s="49"/>
    </row>
    <row r="202" spans="1:11" ht="30" customHeight="1" x14ac:dyDescent="0.25">
      <c r="A202" s="49"/>
      <c r="B202" s="49"/>
      <c r="C202" s="48"/>
      <c r="D202" s="48"/>
      <c r="E202" s="44" t="s">
        <v>9</v>
      </c>
      <c r="F202" s="47" t="s">
        <v>8</v>
      </c>
      <c r="G202" s="13">
        <v>0</v>
      </c>
      <c r="H202" s="13">
        <v>0</v>
      </c>
      <c r="I202" s="13">
        <v>0</v>
      </c>
      <c r="J202" s="13">
        <v>0</v>
      </c>
      <c r="K202" s="49"/>
    </row>
    <row r="203" spans="1:11" ht="30" customHeight="1" x14ac:dyDescent="0.25">
      <c r="A203" s="49"/>
      <c r="B203" s="49"/>
      <c r="C203" s="48"/>
      <c r="D203" s="48"/>
      <c r="E203" s="44" t="s">
        <v>10</v>
      </c>
      <c r="F203" s="47" t="s">
        <v>8</v>
      </c>
      <c r="G203" s="13">
        <f>30060+1607751.7+18000+90000+90241.65+67044.96</f>
        <v>1903098.3099999998</v>
      </c>
      <c r="H203" s="13">
        <v>0</v>
      </c>
      <c r="I203" s="13">
        <v>0</v>
      </c>
      <c r="J203" s="13">
        <v>0</v>
      </c>
      <c r="K203" s="49"/>
    </row>
    <row r="204" spans="1:11" ht="25.5" customHeight="1" x14ac:dyDescent="0.25">
      <c r="A204" s="49" t="s">
        <v>284</v>
      </c>
      <c r="B204" s="49" t="s">
        <v>154</v>
      </c>
      <c r="C204" s="48">
        <v>45292</v>
      </c>
      <c r="D204" s="48">
        <v>46752</v>
      </c>
      <c r="E204" s="44" t="s">
        <v>5</v>
      </c>
      <c r="F204" s="47" t="s">
        <v>28</v>
      </c>
      <c r="G204" s="2">
        <f>SUM(G205:G207)</f>
        <v>338031.7</v>
      </c>
      <c r="H204" s="2">
        <f t="shared" ref="H204:J204" si="62">SUM(H205:H207)</f>
        <v>300000</v>
      </c>
      <c r="I204" s="2">
        <f t="shared" ref="I204" si="63">SUM(I205:I207)</f>
        <v>0</v>
      </c>
      <c r="J204" s="2">
        <f t="shared" si="62"/>
        <v>214600</v>
      </c>
      <c r="K204" s="49" t="s">
        <v>138</v>
      </c>
    </row>
    <row r="205" spans="1:11" ht="25.5" customHeight="1" x14ac:dyDescent="0.25">
      <c r="A205" s="49"/>
      <c r="B205" s="49"/>
      <c r="C205" s="48"/>
      <c r="D205" s="48"/>
      <c r="E205" s="44" t="s">
        <v>7</v>
      </c>
      <c r="F205" s="47" t="s">
        <v>8</v>
      </c>
      <c r="G205" s="2">
        <v>0</v>
      </c>
      <c r="H205" s="2">
        <v>0</v>
      </c>
      <c r="I205" s="2">
        <v>0</v>
      </c>
      <c r="J205" s="2">
        <v>0</v>
      </c>
      <c r="K205" s="49"/>
    </row>
    <row r="206" spans="1:11" ht="25.5" customHeight="1" x14ac:dyDescent="0.25">
      <c r="A206" s="49"/>
      <c r="B206" s="49"/>
      <c r="C206" s="48"/>
      <c r="D206" s="48"/>
      <c r="E206" s="44" t="s">
        <v>9</v>
      </c>
      <c r="F206" s="47" t="s">
        <v>8</v>
      </c>
      <c r="G206" s="2">
        <v>0</v>
      </c>
      <c r="H206" s="2">
        <v>0</v>
      </c>
      <c r="I206" s="2">
        <v>0</v>
      </c>
      <c r="J206" s="2">
        <v>0</v>
      </c>
      <c r="K206" s="49"/>
    </row>
    <row r="207" spans="1:11" ht="25.5" customHeight="1" x14ac:dyDescent="0.25">
      <c r="A207" s="49"/>
      <c r="B207" s="49"/>
      <c r="C207" s="48"/>
      <c r="D207" s="48"/>
      <c r="E207" s="44" t="s">
        <v>10</v>
      </c>
      <c r="F207" s="47" t="s">
        <v>8</v>
      </c>
      <c r="G207" s="2">
        <v>338031.7</v>
      </c>
      <c r="H207" s="2">
        <v>300000</v>
      </c>
      <c r="I207" s="2">
        <v>0</v>
      </c>
      <c r="J207" s="2">
        <v>214600</v>
      </c>
      <c r="K207" s="49"/>
    </row>
    <row r="208" spans="1:11" ht="25.5" customHeight="1" x14ac:dyDescent="0.25">
      <c r="A208" s="49" t="s">
        <v>285</v>
      </c>
      <c r="B208" s="49" t="s">
        <v>153</v>
      </c>
      <c r="C208" s="48">
        <v>45292</v>
      </c>
      <c r="D208" s="48">
        <v>46752</v>
      </c>
      <c r="E208" s="44" t="s">
        <v>5</v>
      </c>
      <c r="F208" s="47" t="s">
        <v>28</v>
      </c>
      <c r="G208" s="2">
        <f>SUM(G209:G211)</f>
        <v>1000173.46</v>
      </c>
      <c r="H208" s="2">
        <f t="shared" ref="H208:J208" si="64">SUM(H209:H211)</f>
        <v>419392.12</v>
      </c>
      <c r="I208" s="2">
        <f t="shared" ref="I208" si="65">SUM(I209:I211)</f>
        <v>0</v>
      </c>
      <c r="J208" s="2">
        <f t="shared" si="64"/>
        <v>383900</v>
      </c>
      <c r="K208" s="49" t="s">
        <v>160</v>
      </c>
    </row>
    <row r="209" spans="1:11" ht="44.25" customHeight="1" x14ac:dyDescent="0.25">
      <c r="A209" s="49"/>
      <c r="B209" s="49"/>
      <c r="C209" s="48"/>
      <c r="D209" s="48"/>
      <c r="E209" s="44" t="s">
        <v>7</v>
      </c>
      <c r="F209" s="47" t="s">
        <v>8</v>
      </c>
      <c r="G209" s="2">
        <v>0</v>
      </c>
      <c r="H209" s="2">
        <v>0</v>
      </c>
      <c r="I209" s="2">
        <v>0</v>
      </c>
      <c r="J209" s="2">
        <v>0</v>
      </c>
      <c r="K209" s="49"/>
    </row>
    <row r="210" spans="1:11" ht="44.25" customHeight="1" x14ac:dyDescent="0.25">
      <c r="A210" s="49"/>
      <c r="B210" s="49"/>
      <c r="C210" s="48"/>
      <c r="D210" s="48"/>
      <c r="E210" s="44" t="s">
        <v>9</v>
      </c>
      <c r="F210" s="47" t="s">
        <v>8</v>
      </c>
      <c r="G210" s="2">
        <v>0</v>
      </c>
      <c r="H210" s="2">
        <v>0</v>
      </c>
      <c r="I210" s="2">
        <v>0</v>
      </c>
      <c r="J210" s="2">
        <v>0</v>
      </c>
      <c r="K210" s="49"/>
    </row>
    <row r="211" spans="1:11" ht="25.5" customHeight="1" x14ac:dyDescent="0.25">
      <c r="A211" s="49"/>
      <c r="B211" s="49"/>
      <c r="C211" s="48"/>
      <c r="D211" s="48"/>
      <c r="E211" s="44" t="s">
        <v>10</v>
      </c>
      <c r="F211" s="47" t="s">
        <v>8</v>
      </c>
      <c r="G211" s="2">
        <f>175900+100000+74273.46+650000</f>
        <v>1000173.46</v>
      </c>
      <c r="H211" s="2">
        <v>419392.12</v>
      </c>
      <c r="I211" s="2">
        <v>0</v>
      </c>
      <c r="J211" s="2">
        <v>383900</v>
      </c>
      <c r="K211" s="49"/>
    </row>
    <row r="212" spans="1:11" ht="49.5" customHeight="1" x14ac:dyDescent="0.25">
      <c r="A212" s="49" t="s">
        <v>161</v>
      </c>
      <c r="B212" s="49" t="s">
        <v>52</v>
      </c>
      <c r="C212" s="48">
        <v>45292</v>
      </c>
      <c r="D212" s="48">
        <v>45657</v>
      </c>
      <c r="E212" s="44" t="s">
        <v>5</v>
      </c>
      <c r="F212" s="47" t="s">
        <v>162</v>
      </c>
      <c r="G212" s="2">
        <f>SUM(G213:G215)</f>
        <v>19781642.580000002</v>
      </c>
      <c r="H212" s="2">
        <f t="shared" ref="H212:J212" si="66">SUM(H213:H215)</f>
        <v>0</v>
      </c>
      <c r="I212" s="2">
        <f t="shared" ref="I212" si="67">SUM(I213:I215)</f>
        <v>0</v>
      </c>
      <c r="J212" s="2">
        <f t="shared" si="66"/>
        <v>0</v>
      </c>
      <c r="K212" s="49" t="s">
        <v>29</v>
      </c>
    </row>
    <row r="213" spans="1:11" ht="49.5" customHeight="1" x14ac:dyDescent="0.25">
      <c r="A213" s="49"/>
      <c r="B213" s="49"/>
      <c r="C213" s="48"/>
      <c r="D213" s="48"/>
      <c r="E213" s="44" t="s">
        <v>7</v>
      </c>
      <c r="F213" s="47" t="s">
        <v>8</v>
      </c>
      <c r="G213" s="2">
        <v>0</v>
      </c>
      <c r="H213" s="2">
        <v>0</v>
      </c>
      <c r="I213" s="2">
        <v>0</v>
      </c>
      <c r="J213" s="2">
        <v>0</v>
      </c>
      <c r="K213" s="49"/>
    </row>
    <row r="214" spans="1:11" ht="49.5" customHeight="1" x14ac:dyDescent="0.25">
      <c r="A214" s="49"/>
      <c r="B214" s="49"/>
      <c r="C214" s="48"/>
      <c r="D214" s="48"/>
      <c r="E214" s="44" t="s">
        <v>9</v>
      </c>
      <c r="F214" s="47" t="s">
        <v>8</v>
      </c>
      <c r="G214" s="2">
        <v>18640241.800000001</v>
      </c>
      <c r="H214" s="2">
        <v>0</v>
      </c>
      <c r="I214" s="2">
        <v>0</v>
      </c>
      <c r="J214" s="2">
        <v>0</v>
      </c>
      <c r="K214" s="49"/>
    </row>
    <row r="215" spans="1:11" ht="49.5" customHeight="1" x14ac:dyDescent="0.25">
      <c r="A215" s="49"/>
      <c r="B215" s="49"/>
      <c r="C215" s="48"/>
      <c r="D215" s="48"/>
      <c r="E215" s="44" t="s">
        <v>10</v>
      </c>
      <c r="F215" s="47" t="s">
        <v>8</v>
      </c>
      <c r="G215" s="2">
        <v>1141400.78</v>
      </c>
      <c r="H215" s="2">
        <v>0</v>
      </c>
      <c r="I215" s="2">
        <v>0</v>
      </c>
      <c r="J215" s="2">
        <v>0</v>
      </c>
      <c r="K215" s="49"/>
    </row>
    <row r="216" spans="1:11" ht="49.5" customHeight="1" x14ac:dyDescent="0.25">
      <c r="A216" s="49" t="s">
        <v>163</v>
      </c>
      <c r="B216" s="49" t="s">
        <v>164</v>
      </c>
      <c r="C216" s="48">
        <v>45292</v>
      </c>
      <c r="D216" s="48">
        <v>45657</v>
      </c>
      <c r="E216" s="44" t="s">
        <v>5</v>
      </c>
      <c r="F216" s="47" t="s">
        <v>162</v>
      </c>
      <c r="G216" s="2">
        <f>SUM(G217:G219)</f>
        <v>3391000.74</v>
      </c>
      <c r="H216" s="2">
        <f t="shared" ref="H216:J216" si="68">SUM(H217:H219)</f>
        <v>0</v>
      </c>
      <c r="I216" s="2">
        <f t="shared" ref="I216" si="69">SUM(I217:I219)</f>
        <v>0</v>
      </c>
      <c r="J216" s="2">
        <f t="shared" si="68"/>
        <v>0</v>
      </c>
      <c r="K216" s="49" t="s">
        <v>29</v>
      </c>
    </row>
    <row r="217" spans="1:11" ht="49.5" customHeight="1" x14ac:dyDescent="0.25">
      <c r="A217" s="49"/>
      <c r="B217" s="49"/>
      <c r="C217" s="48"/>
      <c r="D217" s="48"/>
      <c r="E217" s="44" t="s">
        <v>7</v>
      </c>
      <c r="F217" s="47" t="s">
        <v>8</v>
      </c>
      <c r="G217" s="2">
        <v>0</v>
      </c>
      <c r="H217" s="2">
        <v>0</v>
      </c>
      <c r="I217" s="2">
        <v>0</v>
      </c>
      <c r="J217" s="2">
        <v>0</v>
      </c>
      <c r="K217" s="49"/>
    </row>
    <row r="218" spans="1:11" ht="50.25" customHeight="1" x14ac:dyDescent="0.25">
      <c r="A218" s="49"/>
      <c r="B218" s="49"/>
      <c r="C218" s="48"/>
      <c r="D218" s="48"/>
      <c r="E218" s="44" t="s">
        <v>9</v>
      </c>
      <c r="F218" s="47" t="s">
        <v>8</v>
      </c>
      <c r="G218" s="2">
        <v>3195340</v>
      </c>
      <c r="H218" s="2">
        <v>0</v>
      </c>
      <c r="I218" s="2">
        <v>0</v>
      </c>
      <c r="J218" s="2">
        <v>0</v>
      </c>
      <c r="K218" s="49"/>
    </row>
    <row r="219" spans="1:11" ht="50.25" customHeight="1" x14ac:dyDescent="0.25">
      <c r="A219" s="49"/>
      <c r="B219" s="49"/>
      <c r="C219" s="48"/>
      <c r="D219" s="48"/>
      <c r="E219" s="44" t="s">
        <v>10</v>
      </c>
      <c r="F219" s="47" t="s">
        <v>8</v>
      </c>
      <c r="G219" s="2">
        <v>195660.74</v>
      </c>
      <c r="H219" s="2">
        <v>0</v>
      </c>
      <c r="I219" s="2">
        <v>0</v>
      </c>
      <c r="J219" s="2">
        <v>0</v>
      </c>
      <c r="K219" s="49"/>
    </row>
    <row r="220" spans="1:11" ht="50.25" customHeight="1" x14ac:dyDescent="0.25">
      <c r="A220" s="49" t="s">
        <v>187</v>
      </c>
      <c r="B220" s="49" t="s">
        <v>165</v>
      </c>
      <c r="C220" s="48">
        <v>45292</v>
      </c>
      <c r="D220" s="48">
        <v>45657</v>
      </c>
      <c r="E220" s="44" t="s">
        <v>5</v>
      </c>
      <c r="F220" s="47" t="s">
        <v>162</v>
      </c>
      <c r="G220" s="2">
        <f>SUM(G221:G223)</f>
        <v>1395500.37</v>
      </c>
      <c r="H220" s="2">
        <f t="shared" ref="H220:J220" si="70">SUM(H221:H223)</f>
        <v>0</v>
      </c>
      <c r="I220" s="2">
        <f t="shared" ref="I220" si="71">SUM(I221:I223)</f>
        <v>0</v>
      </c>
      <c r="J220" s="2">
        <f t="shared" si="70"/>
        <v>0</v>
      </c>
      <c r="K220" s="49" t="s">
        <v>29</v>
      </c>
    </row>
    <row r="221" spans="1:11" ht="50.25" customHeight="1" x14ac:dyDescent="0.25">
      <c r="A221" s="49"/>
      <c r="B221" s="49"/>
      <c r="C221" s="48"/>
      <c r="D221" s="48"/>
      <c r="E221" s="44" t="s">
        <v>7</v>
      </c>
      <c r="F221" s="47" t="s">
        <v>8</v>
      </c>
      <c r="G221" s="2">
        <v>0</v>
      </c>
      <c r="H221" s="2">
        <v>0</v>
      </c>
      <c r="I221" s="2">
        <v>0</v>
      </c>
      <c r="J221" s="2">
        <v>0</v>
      </c>
      <c r="K221" s="49"/>
    </row>
    <row r="222" spans="1:11" ht="50.25" customHeight="1" x14ac:dyDescent="0.25">
      <c r="A222" s="49"/>
      <c r="B222" s="49"/>
      <c r="C222" s="48"/>
      <c r="D222" s="48"/>
      <c r="E222" s="44" t="s">
        <v>9</v>
      </c>
      <c r="F222" s="47" t="s">
        <v>8</v>
      </c>
      <c r="G222" s="2">
        <v>1314980</v>
      </c>
      <c r="H222" s="2">
        <v>0</v>
      </c>
      <c r="I222" s="2">
        <v>0</v>
      </c>
      <c r="J222" s="2">
        <v>0</v>
      </c>
      <c r="K222" s="49"/>
    </row>
    <row r="223" spans="1:11" ht="50.25" customHeight="1" x14ac:dyDescent="0.25">
      <c r="A223" s="49"/>
      <c r="B223" s="49"/>
      <c r="C223" s="48"/>
      <c r="D223" s="48"/>
      <c r="E223" s="44" t="s">
        <v>10</v>
      </c>
      <c r="F223" s="47" t="s">
        <v>8</v>
      </c>
      <c r="G223" s="2">
        <v>80520.37</v>
      </c>
      <c r="H223" s="2">
        <v>0</v>
      </c>
      <c r="I223" s="2">
        <v>0</v>
      </c>
      <c r="J223" s="2">
        <v>0</v>
      </c>
      <c r="K223" s="49"/>
    </row>
    <row r="224" spans="1:11" ht="50.25" customHeight="1" x14ac:dyDescent="0.25">
      <c r="A224" s="49" t="s">
        <v>286</v>
      </c>
      <c r="B224" s="49" t="s">
        <v>287</v>
      </c>
      <c r="C224" s="48">
        <v>45658</v>
      </c>
      <c r="D224" s="48">
        <v>46022</v>
      </c>
      <c r="E224" s="44" t="s">
        <v>5</v>
      </c>
      <c r="F224" s="47" t="s">
        <v>162</v>
      </c>
      <c r="G224" s="2">
        <f>SUM(G225:G227)</f>
        <v>0</v>
      </c>
      <c r="H224" s="2">
        <f t="shared" ref="H224:J224" si="72">SUM(H225:H227)</f>
        <v>1997233.2000000002</v>
      </c>
      <c r="I224" s="2">
        <f t="shared" si="72"/>
        <v>0</v>
      </c>
      <c r="J224" s="2">
        <f t="shared" si="72"/>
        <v>0</v>
      </c>
      <c r="K224" s="49" t="s">
        <v>29</v>
      </c>
    </row>
    <row r="225" spans="1:11" ht="50.25" customHeight="1" x14ac:dyDescent="0.25">
      <c r="A225" s="49"/>
      <c r="B225" s="49"/>
      <c r="C225" s="48"/>
      <c r="D225" s="48"/>
      <c r="E225" s="44" t="s">
        <v>7</v>
      </c>
      <c r="F225" s="47" t="s">
        <v>8</v>
      </c>
      <c r="G225" s="2">
        <v>0</v>
      </c>
      <c r="H225" s="2">
        <v>0</v>
      </c>
      <c r="I225" s="2">
        <v>0</v>
      </c>
      <c r="J225" s="2">
        <v>0</v>
      </c>
      <c r="K225" s="49"/>
    </row>
    <row r="226" spans="1:11" ht="50.25" customHeight="1" x14ac:dyDescent="0.25">
      <c r="A226" s="49"/>
      <c r="B226" s="49"/>
      <c r="C226" s="48"/>
      <c r="D226" s="48"/>
      <c r="E226" s="44" t="s">
        <v>9</v>
      </c>
      <c r="F226" s="47" t="s">
        <v>8</v>
      </c>
      <c r="G226" s="2">
        <v>0</v>
      </c>
      <c r="H226" s="2">
        <v>1874403.36</v>
      </c>
      <c r="I226" s="2">
        <v>0</v>
      </c>
      <c r="J226" s="2">
        <v>0</v>
      </c>
      <c r="K226" s="49"/>
    </row>
    <row r="227" spans="1:11" ht="50.25" customHeight="1" x14ac:dyDescent="0.25">
      <c r="A227" s="49"/>
      <c r="B227" s="49"/>
      <c r="C227" s="48"/>
      <c r="D227" s="48"/>
      <c r="E227" s="44" t="s">
        <v>10</v>
      </c>
      <c r="F227" s="47" t="s">
        <v>8</v>
      </c>
      <c r="G227" s="2">
        <v>0</v>
      </c>
      <c r="H227" s="2">
        <v>122829.84</v>
      </c>
      <c r="I227" s="2">
        <v>0</v>
      </c>
      <c r="J227" s="2">
        <v>0</v>
      </c>
      <c r="K227" s="49"/>
    </row>
    <row r="228" spans="1:11" ht="50.25" customHeight="1" x14ac:dyDescent="0.25">
      <c r="A228" s="49" t="s">
        <v>323</v>
      </c>
      <c r="B228" s="49" t="s">
        <v>324</v>
      </c>
      <c r="C228" s="48">
        <v>45658</v>
      </c>
      <c r="D228" s="48">
        <v>46022</v>
      </c>
      <c r="E228" s="44" t="s">
        <v>5</v>
      </c>
      <c r="F228" s="47" t="s">
        <v>162</v>
      </c>
      <c r="G228" s="2">
        <f>SUM(G229:G231)</f>
        <v>0</v>
      </c>
      <c r="H228" s="2">
        <f t="shared" ref="H228:J228" si="73">SUM(H229:H231)</f>
        <v>1556582.82</v>
      </c>
      <c r="I228" s="2">
        <f t="shared" si="73"/>
        <v>0</v>
      </c>
      <c r="J228" s="2">
        <f t="shared" si="73"/>
        <v>0</v>
      </c>
      <c r="K228" s="49" t="s">
        <v>29</v>
      </c>
    </row>
    <row r="229" spans="1:11" ht="50.25" customHeight="1" x14ac:dyDescent="0.25">
      <c r="A229" s="49"/>
      <c r="B229" s="49"/>
      <c r="C229" s="48"/>
      <c r="D229" s="48"/>
      <c r="E229" s="44" t="s">
        <v>7</v>
      </c>
      <c r="F229" s="47" t="s">
        <v>8</v>
      </c>
      <c r="G229" s="2">
        <v>0</v>
      </c>
      <c r="H229" s="2">
        <v>0</v>
      </c>
      <c r="I229" s="2">
        <v>0</v>
      </c>
      <c r="J229" s="2">
        <v>0</v>
      </c>
      <c r="K229" s="49"/>
    </row>
    <row r="230" spans="1:11" ht="50.25" customHeight="1" x14ac:dyDescent="0.25">
      <c r="A230" s="49"/>
      <c r="B230" s="49"/>
      <c r="C230" s="48"/>
      <c r="D230" s="48"/>
      <c r="E230" s="44" t="s">
        <v>9</v>
      </c>
      <c r="F230" s="47" t="s">
        <v>8</v>
      </c>
      <c r="G230" s="2">
        <v>0</v>
      </c>
      <c r="H230" s="2">
        <v>1460852.98</v>
      </c>
      <c r="I230" s="2">
        <v>0</v>
      </c>
      <c r="J230" s="2">
        <v>0</v>
      </c>
      <c r="K230" s="49"/>
    </row>
    <row r="231" spans="1:11" ht="50.25" customHeight="1" x14ac:dyDescent="0.25">
      <c r="A231" s="49"/>
      <c r="B231" s="49"/>
      <c r="C231" s="48"/>
      <c r="D231" s="48"/>
      <c r="E231" s="44" t="s">
        <v>10</v>
      </c>
      <c r="F231" s="47" t="s">
        <v>8</v>
      </c>
      <c r="G231" s="2">
        <v>0</v>
      </c>
      <c r="H231" s="2">
        <v>95729.84</v>
      </c>
      <c r="I231" s="2">
        <v>0</v>
      </c>
      <c r="J231" s="2">
        <v>0</v>
      </c>
      <c r="K231" s="49"/>
    </row>
    <row r="232" spans="1:11" ht="50.25" customHeight="1" x14ac:dyDescent="0.25">
      <c r="A232" s="49" t="s">
        <v>288</v>
      </c>
      <c r="B232" s="49" t="s">
        <v>282</v>
      </c>
      <c r="C232" s="48">
        <v>45658</v>
      </c>
      <c r="D232" s="48">
        <v>46022</v>
      </c>
      <c r="E232" s="44" t="s">
        <v>5</v>
      </c>
      <c r="F232" s="47" t="s">
        <v>162</v>
      </c>
      <c r="G232" s="2">
        <f>SUM(G233:G235)</f>
        <v>0</v>
      </c>
      <c r="H232" s="2">
        <f t="shared" ref="H232:J232" si="74">SUM(H233:H235)</f>
        <v>3077998.9200000004</v>
      </c>
      <c r="I232" s="2">
        <f t="shared" si="74"/>
        <v>0</v>
      </c>
      <c r="J232" s="2">
        <f t="shared" si="74"/>
        <v>0</v>
      </c>
      <c r="K232" s="49" t="s">
        <v>29</v>
      </c>
    </row>
    <row r="233" spans="1:11" ht="50.25" customHeight="1" x14ac:dyDescent="0.25">
      <c r="A233" s="49"/>
      <c r="B233" s="49"/>
      <c r="C233" s="48"/>
      <c r="D233" s="48"/>
      <c r="E233" s="44" t="s">
        <v>7</v>
      </c>
      <c r="F233" s="47" t="s">
        <v>8</v>
      </c>
      <c r="G233" s="2">
        <v>0</v>
      </c>
      <c r="H233" s="2">
        <v>0</v>
      </c>
      <c r="I233" s="2">
        <v>0</v>
      </c>
      <c r="J233" s="2">
        <v>0</v>
      </c>
      <c r="K233" s="49"/>
    </row>
    <row r="234" spans="1:11" ht="50.25" customHeight="1" x14ac:dyDescent="0.25">
      <c r="A234" s="49"/>
      <c r="B234" s="49"/>
      <c r="C234" s="48"/>
      <c r="D234" s="48"/>
      <c r="E234" s="44" t="s">
        <v>9</v>
      </c>
      <c r="F234" s="47" t="s">
        <v>8</v>
      </c>
      <c r="G234" s="2">
        <v>0</v>
      </c>
      <c r="H234" s="2">
        <v>2888701.99</v>
      </c>
      <c r="I234" s="2">
        <v>0</v>
      </c>
      <c r="J234" s="2">
        <v>0</v>
      </c>
      <c r="K234" s="49"/>
    </row>
    <row r="235" spans="1:11" ht="50.25" customHeight="1" x14ac:dyDescent="0.25">
      <c r="A235" s="49"/>
      <c r="B235" s="49"/>
      <c r="C235" s="48"/>
      <c r="D235" s="48"/>
      <c r="E235" s="44" t="s">
        <v>10</v>
      </c>
      <c r="F235" s="47" t="s">
        <v>8</v>
      </c>
      <c r="G235" s="2">
        <v>0</v>
      </c>
      <c r="H235" s="2">
        <v>189296.93</v>
      </c>
      <c r="I235" s="2">
        <v>0</v>
      </c>
      <c r="J235" s="2">
        <v>0</v>
      </c>
      <c r="K235" s="49"/>
    </row>
    <row r="236" spans="1:11" ht="50.25" customHeight="1" x14ac:dyDescent="0.25">
      <c r="A236" s="49" t="s">
        <v>357</v>
      </c>
      <c r="B236" s="49" t="s">
        <v>358</v>
      </c>
      <c r="C236" s="48">
        <v>45658</v>
      </c>
      <c r="D236" s="48">
        <v>46022</v>
      </c>
      <c r="E236" s="44" t="s">
        <v>5</v>
      </c>
      <c r="F236" s="47" t="s">
        <v>359</v>
      </c>
      <c r="G236" s="2">
        <f>SUM(G237:G239)</f>
        <v>0</v>
      </c>
      <c r="H236" s="2">
        <f t="shared" ref="H236:J236" si="75">SUM(H237:H239)</f>
        <v>5455954.0499999998</v>
      </c>
      <c r="I236" s="2">
        <f t="shared" si="75"/>
        <v>0</v>
      </c>
      <c r="J236" s="2">
        <f t="shared" si="75"/>
        <v>0</v>
      </c>
      <c r="K236" s="49" t="s">
        <v>29</v>
      </c>
    </row>
    <row r="237" spans="1:11" ht="50.25" customHeight="1" x14ac:dyDescent="0.25">
      <c r="A237" s="49"/>
      <c r="B237" s="49"/>
      <c r="C237" s="48"/>
      <c r="D237" s="48"/>
      <c r="E237" s="44" t="s">
        <v>7</v>
      </c>
      <c r="F237" s="47" t="s">
        <v>8</v>
      </c>
      <c r="G237" s="2">
        <v>0</v>
      </c>
      <c r="H237" s="2">
        <v>0</v>
      </c>
      <c r="I237" s="2">
        <v>0</v>
      </c>
      <c r="J237" s="2">
        <v>0</v>
      </c>
      <c r="K237" s="49"/>
    </row>
    <row r="238" spans="1:11" ht="50.25" customHeight="1" x14ac:dyDescent="0.25">
      <c r="A238" s="49"/>
      <c r="B238" s="49"/>
      <c r="C238" s="48"/>
      <c r="D238" s="48"/>
      <c r="E238" s="44" t="s">
        <v>9</v>
      </c>
      <c r="F238" s="47" t="s">
        <v>8</v>
      </c>
      <c r="G238" s="2">
        <v>0</v>
      </c>
      <c r="H238" s="2">
        <v>5120412.8499999996</v>
      </c>
      <c r="I238" s="2">
        <v>0</v>
      </c>
      <c r="J238" s="2">
        <v>0</v>
      </c>
      <c r="K238" s="49"/>
    </row>
    <row r="239" spans="1:11" ht="50.25" customHeight="1" x14ac:dyDescent="0.25">
      <c r="A239" s="49"/>
      <c r="B239" s="49"/>
      <c r="C239" s="48"/>
      <c r="D239" s="48"/>
      <c r="E239" s="44" t="s">
        <v>10</v>
      </c>
      <c r="F239" s="47" t="s">
        <v>8</v>
      </c>
      <c r="G239" s="2">
        <v>0</v>
      </c>
      <c r="H239" s="2">
        <v>335541.2</v>
      </c>
      <c r="I239" s="2">
        <v>0</v>
      </c>
      <c r="J239" s="2">
        <v>0</v>
      </c>
      <c r="K239" s="49"/>
    </row>
    <row r="240" spans="1:11" ht="25.5" customHeight="1" x14ac:dyDescent="0.25">
      <c r="A240" s="49" t="s">
        <v>30</v>
      </c>
      <c r="B240" s="50" t="s">
        <v>51</v>
      </c>
      <c r="C240" s="48">
        <v>45292</v>
      </c>
      <c r="D240" s="48">
        <v>46752</v>
      </c>
      <c r="E240" s="44" t="s">
        <v>5</v>
      </c>
      <c r="F240" s="47" t="s">
        <v>31</v>
      </c>
      <c r="G240" s="2">
        <f>SUM(G241:G243)</f>
        <v>54684</v>
      </c>
      <c r="H240" s="2">
        <f t="shared" ref="H240:I240" si="76">SUM(H241:H243)</f>
        <v>93744</v>
      </c>
      <c r="I240" s="2">
        <f t="shared" si="76"/>
        <v>35154</v>
      </c>
      <c r="J240" s="2">
        <f t="shared" ref="J240" si="77">SUM(J241:J243)</f>
        <v>35154</v>
      </c>
      <c r="K240" s="49" t="s">
        <v>32</v>
      </c>
    </row>
    <row r="241" spans="1:11" ht="25.5" customHeight="1" x14ac:dyDescent="0.25">
      <c r="A241" s="49"/>
      <c r="B241" s="50"/>
      <c r="C241" s="48"/>
      <c r="D241" s="48"/>
      <c r="E241" s="44" t="s">
        <v>7</v>
      </c>
      <c r="F241" s="47" t="s">
        <v>8</v>
      </c>
      <c r="G241" s="2">
        <v>0</v>
      </c>
      <c r="H241" s="2">
        <v>0</v>
      </c>
      <c r="I241" s="2">
        <v>0</v>
      </c>
      <c r="J241" s="2">
        <v>0</v>
      </c>
      <c r="K241" s="49"/>
    </row>
    <row r="242" spans="1:11" ht="25.5" customHeight="1" x14ac:dyDescent="0.25">
      <c r="A242" s="49"/>
      <c r="B242" s="50"/>
      <c r="C242" s="48"/>
      <c r="D242" s="48"/>
      <c r="E242" s="44" t="s">
        <v>9</v>
      </c>
      <c r="F242" s="47" t="s">
        <v>8</v>
      </c>
      <c r="G242" s="2">
        <v>0</v>
      </c>
      <c r="H242" s="2">
        <v>0</v>
      </c>
      <c r="I242" s="2">
        <v>0</v>
      </c>
      <c r="J242" s="2">
        <v>0</v>
      </c>
      <c r="K242" s="49"/>
    </row>
    <row r="243" spans="1:11" ht="25.5" customHeight="1" x14ac:dyDescent="0.25">
      <c r="A243" s="49"/>
      <c r="B243" s="50"/>
      <c r="C243" s="48"/>
      <c r="D243" s="48"/>
      <c r="E243" s="44" t="s">
        <v>10</v>
      </c>
      <c r="F243" s="47" t="s">
        <v>8</v>
      </c>
      <c r="G243" s="2">
        <f>105462-50778</f>
        <v>54684</v>
      </c>
      <c r="H243" s="2">
        <v>93744</v>
      </c>
      <c r="I243" s="2">
        <v>35154</v>
      </c>
      <c r="J243" s="2">
        <v>35154</v>
      </c>
      <c r="K243" s="49"/>
    </row>
    <row r="244" spans="1:11" ht="33" customHeight="1" x14ac:dyDescent="0.25">
      <c r="A244" s="49" t="s">
        <v>289</v>
      </c>
      <c r="B244" s="50" t="s">
        <v>51</v>
      </c>
      <c r="C244" s="48">
        <v>45292</v>
      </c>
      <c r="D244" s="48">
        <v>46022</v>
      </c>
      <c r="E244" s="44" t="s">
        <v>5</v>
      </c>
      <c r="F244" s="47" t="s">
        <v>166</v>
      </c>
      <c r="G244" s="2">
        <f>SUM(G245:G247)</f>
        <v>1629812.64</v>
      </c>
      <c r="H244" s="2">
        <f t="shared" ref="H244:J244" si="78">SUM(H245:H247)</f>
        <v>2134287.86</v>
      </c>
      <c r="I244" s="2">
        <f t="shared" ref="I244" si="79">SUM(I245:I247)</f>
        <v>0</v>
      </c>
      <c r="J244" s="2">
        <f t="shared" si="78"/>
        <v>0</v>
      </c>
      <c r="K244" s="49" t="s">
        <v>167</v>
      </c>
    </row>
    <row r="245" spans="1:11" ht="36.75" customHeight="1" x14ac:dyDescent="0.25">
      <c r="A245" s="49"/>
      <c r="B245" s="50"/>
      <c r="C245" s="48"/>
      <c r="D245" s="48"/>
      <c r="E245" s="44" t="s">
        <v>7</v>
      </c>
      <c r="F245" s="47" t="s">
        <v>8</v>
      </c>
      <c r="G245" s="2">
        <v>0</v>
      </c>
      <c r="H245" s="2">
        <v>0</v>
      </c>
      <c r="I245" s="2">
        <v>0</v>
      </c>
      <c r="J245" s="2">
        <v>0</v>
      </c>
      <c r="K245" s="49"/>
    </row>
    <row r="246" spans="1:11" ht="34.5" customHeight="1" x14ac:dyDescent="0.25">
      <c r="A246" s="49"/>
      <c r="B246" s="50"/>
      <c r="C246" s="48"/>
      <c r="D246" s="48"/>
      <c r="E246" s="44" t="s">
        <v>9</v>
      </c>
      <c r="F246" s="47" t="s">
        <v>8</v>
      </c>
      <c r="G246" s="2">
        <f>1629812.64</f>
        <v>1629812.64</v>
      </c>
      <c r="H246" s="2">
        <f>1097947.2+1036340.66</f>
        <v>2134287.86</v>
      </c>
      <c r="I246" s="2">
        <v>0</v>
      </c>
      <c r="J246" s="2">
        <v>0</v>
      </c>
      <c r="K246" s="49"/>
    </row>
    <row r="247" spans="1:11" ht="35.25" customHeight="1" x14ac:dyDescent="0.25">
      <c r="A247" s="49"/>
      <c r="B247" s="50"/>
      <c r="C247" s="48"/>
      <c r="D247" s="48"/>
      <c r="E247" s="44" t="s">
        <v>10</v>
      </c>
      <c r="F247" s="47" t="s">
        <v>8</v>
      </c>
      <c r="G247" s="2">
        <v>0</v>
      </c>
      <c r="H247" s="2">
        <v>0</v>
      </c>
      <c r="I247" s="2">
        <v>0</v>
      </c>
      <c r="J247" s="2">
        <v>0</v>
      </c>
      <c r="K247" s="49"/>
    </row>
    <row r="248" spans="1:11" ht="28.5" customHeight="1" x14ac:dyDescent="0.25">
      <c r="A248" s="49" t="s">
        <v>180</v>
      </c>
      <c r="B248" s="50" t="s">
        <v>170</v>
      </c>
      <c r="C248" s="48">
        <v>45292</v>
      </c>
      <c r="D248" s="48">
        <v>45657</v>
      </c>
      <c r="E248" s="44" t="s">
        <v>5</v>
      </c>
      <c r="F248" s="47" t="s">
        <v>183</v>
      </c>
      <c r="G248" s="2">
        <f>SUM(G249:G251)</f>
        <v>400000</v>
      </c>
      <c r="H248" s="2">
        <f t="shared" ref="H248:J248" si="80">SUM(H249:H251)</f>
        <v>0</v>
      </c>
      <c r="I248" s="2">
        <f t="shared" ref="I248" si="81">SUM(I249:I251)</f>
        <v>0</v>
      </c>
      <c r="J248" s="2">
        <f t="shared" si="80"/>
        <v>0</v>
      </c>
      <c r="K248" s="49" t="s">
        <v>181</v>
      </c>
    </row>
    <row r="249" spans="1:11" ht="28.5" customHeight="1" x14ac:dyDescent="0.25">
      <c r="A249" s="49"/>
      <c r="B249" s="50"/>
      <c r="C249" s="48"/>
      <c r="D249" s="48"/>
      <c r="E249" s="44" t="s">
        <v>7</v>
      </c>
      <c r="F249" s="47" t="s">
        <v>8</v>
      </c>
      <c r="G249" s="2">
        <v>0</v>
      </c>
      <c r="H249" s="2">
        <v>0</v>
      </c>
      <c r="I249" s="2">
        <v>0</v>
      </c>
      <c r="J249" s="2">
        <v>0</v>
      </c>
      <c r="K249" s="49"/>
    </row>
    <row r="250" spans="1:11" ht="28.5" customHeight="1" x14ac:dyDescent="0.25">
      <c r="A250" s="49"/>
      <c r="B250" s="50"/>
      <c r="C250" s="48"/>
      <c r="D250" s="48"/>
      <c r="E250" s="44" t="s">
        <v>9</v>
      </c>
      <c r="F250" s="47" t="s">
        <v>8</v>
      </c>
      <c r="G250" s="2">
        <v>400000</v>
      </c>
      <c r="H250" s="2">
        <v>0</v>
      </c>
      <c r="I250" s="2">
        <v>0</v>
      </c>
      <c r="J250" s="2">
        <v>0</v>
      </c>
      <c r="K250" s="49"/>
    </row>
    <row r="251" spans="1:11" ht="28.5" customHeight="1" x14ac:dyDescent="0.25">
      <c r="A251" s="49"/>
      <c r="B251" s="50"/>
      <c r="C251" s="48"/>
      <c r="D251" s="48"/>
      <c r="E251" s="44" t="s">
        <v>10</v>
      </c>
      <c r="F251" s="47" t="s">
        <v>8</v>
      </c>
      <c r="G251" s="2">
        <v>0</v>
      </c>
      <c r="H251" s="2">
        <v>0</v>
      </c>
      <c r="I251" s="2">
        <v>0</v>
      </c>
      <c r="J251" s="2">
        <v>0</v>
      </c>
      <c r="K251" s="49"/>
    </row>
    <row r="252" spans="1:11" ht="30" customHeight="1" x14ac:dyDescent="0.25">
      <c r="A252" s="49" t="s">
        <v>182</v>
      </c>
      <c r="B252" s="50" t="s">
        <v>179</v>
      </c>
      <c r="C252" s="48">
        <v>45292</v>
      </c>
      <c r="D252" s="48">
        <v>45657</v>
      </c>
      <c r="E252" s="44" t="s">
        <v>5</v>
      </c>
      <c r="F252" s="47" t="s">
        <v>183</v>
      </c>
      <c r="G252" s="2">
        <f>SUM(G253:G255)</f>
        <v>400000</v>
      </c>
      <c r="H252" s="2">
        <f t="shared" ref="H252:J252" si="82">SUM(H253:H255)</f>
        <v>0</v>
      </c>
      <c r="I252" s="2">
        <f t="shared" ref="I252" si="83">SUM(I253:I255)</f>
        <v>0</v>
      </c>
      <c r="J252" s="2">
        <f t="shared" si="82"/>
        <v>0</v>
      </c>
      <c r="K252" s="49" t="s">
        <v>181</v>
      </c>
    </row>
    <row r="253" spans="1:11" ht="30" customHeight="1" x14ac:dyDescent="0.25">
      <c r="A253" s="49"/>
      <c r="B253" s="50"/>
      <c r="C253" s="48"/>
      <c r="D253" s="48"/>
      <c r="E253" s="44" t="s">
        <v>7</v>
      </c>
      <c r="F253" s="47" t="s">
        <v>8</v>
      </c>
      <c r="G253" s="2">
        <v>0</v>
      </c>
      <c r="H253" s="2">
        <v>0</v>
      </c>
      <c r="I253" s="2">
        <v>0</v>
      </c>
      <c r="J253" s="2">
        <v>0</v>
      </c>
      <c r="K253" s="49"/>
    </row>
    <row r="254" spans="1:11" ht="30" customHeight="1" x14ac:dyDescent="0.25">
      <c r="A254" s="49"/>
      <c r="B254" s="50"/>
      <c r="C254" s="48"/>
      <c r="D254" s="48"/>
      <c r="E254" s="44" t="s">
        <v>9</v>
      </c>
      <c r="F254" s="47" t="s">
        <v>8</v>
      </c>
      <c r="G254" s="2">
        <v>400000</v>
      </c>
      <c r="H254" s="2">
        <v>0</v>
      </c>
      <c r="I254" s="2">
        <v>0</v>
      </c>
      <c r="J254" s="2">
        <v>0</v>
      </c>
      <c r="K254" s="49"/>
    </row>
    <row r="255" spans="1:11" ht="30" customHeight="1" x14ac:dyDescent="0.25">
      <c r="A255" s="49"/>
      <c r="B255" s="50"/>
      <c r="C255" s="48"/>
      <c r="D255" s="48"/>
      <c r="E255" s="44" t="s">
        <v>10</v>
      </c>
      <c r="F255" s="47" t="s">
        <v>8</v>
      </c>
      <c r="G255" s="2">
        <v>0</v>
      </c>
      <c r="H255" s="2">
        <v>0</v>
      </c>
      <c r="I255" s="2">
        <v>0</v>
      </c>
      <c r="J255" s="2">
        <v>0</v>
      </c>
      <c r="K255" s="49"/>
    </row>
    <row r="256" spans="1:11" ht="29.25" customHeight="1" x14ac:dyDescent="0.25">
      <c r="A256" s="49" t="s">
        <v>185</v>
      </c>
      <c r="B256" s="50" t="s">
        <v>184</v>
      </c>
      <c r="C256" s="48">
        <v>45292</v>
      </c>
      <c r="D256" s="48">
        <v>45657</v>
      </c>
      <c r="E256" s="44" t="s">
        <v>5</v>
      </c>
      <c r="F256" s="47" t="s">
        <v>183</v>
      </c>
      <c r="G256" s="2">
        <f>SUM(G257:G259)</f>
        <v>400000</v>
      </c>
      <c r="H256" s="2">
        <f t="shared" ref="H256:J256" si="84">SUM(H257:H259)</f>
        <v>0</v>
      </c>
      <c r="I256" s="2">
        <f t="shared" ref="I256" si="85">SUM(I257:I259)</f>
        <v>0</v>
      </c>
      <c r="J256" s="2">
        <f t="shared" si="84"/>
        <v>0</v>
      </c>
      <c r="K256" s="49" t="s">
        <v>181</v>
      </c>
    </row>
    <row r="257" spans="1:16" ht="29.25" customHeight="1" x14ac:dyDescent="0.25">
      <c r="A257" s="49"/>
      <c r="B257" s="50"/>
      <c r="C257" s="48"/>
      <c r="D257" s="48"/>
      <c r="E257" s="44" t="s">
        <v>7</v>
      </c>
      <c r="F257" s="47" t="s">
        <v>8</v>
      </c>
      <c r="G257" s="2">
        <v>0</v>
      </c>
      <c r="H257" s="2">
        <v>0</v>
      </c>
      <c r="I257" s="2">
        <v>0</v>
      </c>
      <c r="J257" s="2">
        <v>0</v>
      </c>
      <c r="K257" s="49"/>
    </row>
    <row r="258" spans="1:16" ht="29.25" customHeight="1" x14ac:dyDescent="0.25">
      <c r="A258" s="49"/>
      <c r="B258" s="50"/>
      <c r="C258" s="48"/>
      <c r="D258" s="48"/>
      <c r="E258" s="44" t="s">
        <v>9</v>
      </c>
      <c r="F258" s="47" t="s">
        <v>8</v>
      </c>
      <c r="G258" s="2">
        <v>400000</v>
      </c>
      <c r="H258" s="2">
        <v>0</v>
      </c>
      <c r="I258" s="2">
        <v>0</v>
      </c>
      <c r="J258" s="2">
        <v>0</v>
      </c>
      <c r="K258" s="49"/>
    </row>
    <row r="259" spans="1:16" ht="29.25" customHeight="1" x14ac:dyDescent="0.25">
      <c r="A259" s="49"/>
      <c r="B259" s="50"/>
      <c r="C259" s="48"/>
      <c r="D259" s="48"/>
      <c r="E259" s="44" t="s">
        <v>10</v>
      </c>
      <c r="F259" s="47" t="s">
        <v>8</v>
      </c>
      <c r="G259" s="2">
        <v>0</v>
      </c>
      <c r="H259" s="2">
        <v>0</v>
      </c>
      <c r="I259" s="2">
        <v>0</v>
      </c>
      <c r="J259" s="2">
        <v>0</v>
      </c>
      <c r="K259" s="49"/>
    </row>
    <row r="260" spans="1:16" ht="25.5" customHeight="1" x14ac:dyDescent="0.25">
      <c r="A260" s="49" t="s">
        <v>33</v>
      </c>
      <c r="B260" s="50" t="s">
        <v>51</v>
      </c>
      <c r="C260" s="48">
        <v>45292</v>
      </c>
      <c r="D260" s="48">
        <v>46752</v>
      </c>
      <c r="E260" s="44" t="s">
        <v>5</v>
      </c>
      <c r="F260" s="47" t="s">
        <v>34</v>
      </c>
      <c r="G260" s="2">
        <f>SUM(G261:G263)</f>
        <v>6792190.4000000004</v>
      </c>
      <c r="H260" s="2">
        <f t="shared" ref="H260:I260" si="86">SUM(H261:H263)</f>
        <v>257588.1</v>
      </c>
      <c r="I260" s="2">
        <f t="shared" si="86"/>
        <v>259572.6</v>
      </c>
      <c r="J260" s="2">
        <f t="shared" ref="J260" si="87">SUM(J261:J263)</f>
        <v>267590.09999999998</v>
      </c>
      <c r="K260" s="49" t="s">
        <v>81</v>
      </c>
      <c r="P260" s="4"/>
    </row>
    <row r="261" spans="1:16" ht="25.5" customHeight="1" x14ac:dyDescent="0.25">
      <c r="A261" s="49"/>
      <c r="B261" s="50"/>
      <c r="C261" s="48"/>
      <c r="D261" s="48"/>
      <c r="E261" s="44" t="s">
        <v>7</v>
      </c>
      <c r="F261" s="47" t="s">
        <v>8</v>
      </c>
      <c r="G261" s="2">
        <v>0</v>
      </c>
      <c r="H261" s="2">
        <v>0</v>
      </c>
      <c r="I261" s="2">
        <v>0</v>
      </c>
      <c r="J261" s="2">
        <v>0</v>
      </c>
      <c r="K261" s="49"/>
      <c r="P261" s="4"/>
    </row>
    <row r="262" spans="1:16" ht="25.5" customHeight="1" x14ac:dyDescent="0.25">
      <c r="A262" s="49"/>
      <c r="B262" s="50"/>
      <c r="C262" s="48"/>
      <c r="D262" s="48"/>
      <c r="E262" s="44" t="s">
        <v>9</v>
      </c>
      <c r="F262" s="47" t="s">
        <v>8</v>
      </c>
      <c r="G262" s="2">
        <v>6792190.4000000004</v>
      </c>
      <c r="H262" s="2">
        <v>257588.1</v>
      </c>
      <c r="I262" s="2">
        <v>259572.6</v>
      </c>
      <c r="J262" s="2">
        <v>267590.09999999998</v>
      </c>
      <c r="K262" s="49"/>
      <c r="P262" s="4"/>
    </row>
    <row r="263" spans="1:16" ht="25.5" customHeight="1" x14ac:dyDescent="0.25">
      <c r="A263" s="49"/>
      <c r="B263" s="50"/>
      <c r="C263" s="48"/>
      <c r="D263" s="48"/>
      <c r="E263" s="44" t="s">
        <v>10</v>
      </c>
      <c r="F263" s="47" t="s">
        <v>8</v>
      </c>
      <c r="G263" s="2">
        <v>0</v>
      </c>
      <c r="H263" s="2">
        <v>0</v>
      </c>
      <c r="I263" s="2">
        <v>0</v>
      </c>
      <c r="J263" s="2">
        <v>0</v>
      </c>
      <c r="K263" s="49"/>
    </row>
    <row r="264" spans="1:16" ht="24.75" customHeight="1" x14ac:dyDescent="0.25">
      <c r="A264" s="49" t="s">
        <v>35</v>
      </c>
      <c r="B264" s="50" t="s">
        <v>51</v>
      </c>
      <c r="C264" s="48">
        <v>45292</v>
      </c>
      <c r="D264" s="48">
        <v>46752</v>
      </c>
      <c r="E264" s="44" t="s">
        <v>5</v>
      </c>
      <c r="F264" s="47" t="s">
        <v>99</v>
      </c>
      <c r="G264" s="2">
        <f>SUM(G265:G267)</f>
        <v>2532866</v>
      </c>
      <c r="H264" s="2">
        <f t="shared" ref="H264:I264" si="88">SUM(H265:H267)</f>
        <v>5637021.5999999996</v>
      </c>
      <c r="I264" s="2">
        <f t="shared" si="88"/>
        <v>5554452.4000000004</v>
      </c>
      <c r="J264" s="2">
        <f t="shared" ref="J264" si="89">SUM(J265:J267)</f>
        <v>5554452.4000000004</v>
      </c>
      <c r="K264" s="49" t="s">
        <v>82</v>
      </c>
      <c r="L264" s="23"/>
      <c r="M264" s="23"/>
      <c r="N264" s="23"/>
      <c r="O264" s="23"/>
    </row>
    <row r="265" spans="1:16" ht="24.75" customHeight="1" x14ac:dyDescent="0.25">
      <c r="A265" s="49"/>
      <c r="B265" s="50"/>
      <c r="C265" s="48"/>
      <c r="D265" s="48"/>
      <c r="E265" s="44" t="s">
        <v>7</v>
      </c>
      <c r="F265" s="47" t="s">
        <v>8</v>
      </c>
      <c r="G265" s="2">
        <v>0</v>
      </c>
      <c r="H265" s="2">
        <v>0</v>
      </c>
      <c r="I265" s="2">
        <v>0</v>
      </c>
      <c r="J265" s="2">
        <v>0</v>
      </c>
      <c r="K265" s="49"/>
      <c r="L265" s="23"/>
      <c r="M265" s="23"/>
      <c r="N265" s="23"/>
      <c r="O265" s="23"/>
    </row>
    <row r="266" spans="1:16" ht="24.75" customHeight="1" x14ac:dyDescent="0.25">
      <c r="A266" s="49"/>
      <c r="B266" s="50"/>
      <c r="C266" s="48"/>
      <c r="D266" s="48"/>
      <c r="E266" s="44" t="s">
        <v>9</v>
      </c>
      <c r="F266" s="47" t="s">
        <v>8</v>
      </c>
      <c r="G266" s="2">
        <f>3359818.68-826952.68</f>
        <v>2532866</v>
      </c>
      <c r="H266" s="2">
        <v>5637021.5999999996</v>
      </c>
      <c r="I266" s="2">
        <v>5554452.4000000004</v>
      </c>
      <c r="J266" s="2">
        <v>5554452.4000000004</v>
      </c>
      <c r="K266" s="49"/>
      <c r="L266" s="23"/>
      <c r="M266" s="23"/>
      <c r="N266" s="23"/>
      <c r="O266" s="23"/>
    </row>
    <row r="267" spans="1:16" ht="24.75" customHeight="1" x14ac:dyDescent="0.25">
      <c r="A267" s="49"/>
      <c r="B267" s="50"/>
      <c r="C267" s="48"/>
      <c r="D267" s="48"/>
      <c r="E267" s="44" t="s">
        <v>10</v>
      </c>
      <c r="F267" s="47" t="s">
        <v>8</v>
      </c>
      <c r="G267" s="2">
        <v>0</v>
      </c>
      <c r="H267" s="2">
        <v>0</v>
      </c>
      <c r="I267" s="2">
        <v>0</v>
      </c>
      <c r="J267" s="2">
        <v>0</v>
      </c>
      <c r="K267" s="49"/>
    </row>
    <row r="268" spans="1:16" ht="12" customHeight="1" x14ac:dyDescent="0.25">
      <c r="A268" s="53" t="s">
        <v>2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</row>
    <row r="269" spans="1:16" ht="26.25" customHeight="1" x14ac:dyDescent="0.25">
      <c r="A269" s="49" t="s">
        <v>24</v>
      </c>
      <c r="B269" s="50" t="s">
        <v>4</v>
      </c>
      <c r="C269" s="48">
        <v>45292</v>
      </c>
      <c r="D269" s="48">
        <v>46752</v>
      </c>
      <c r="E269" s="44" t="s">
        <v>5</v>
      </c>
      <c r="F269" s="47" t="s">
        <v>348</v>
      </c>
      <c r="G269" s="13">
        <f>SUM(G270:G272)</f>
        <v>79903858.760000005</v>
      </c>
      <c r="H269" s="13">
        <f t="shared" ref="H269:I269" si="90">SUM(H270:H272)</f>
        <v>91550405.170000002</v>
      </c>
      <c r="I269" s="13">
        <f t="shared" si="90"/>
        <v>98806530</v>
      </c>
      <c r="J269" s="13">
        <f t="shared" ref="J269" si="91">SUM(J270:J272)</f>
        <v>101768700</v>
      </c>
      <c r="K269" s="49" t="s">
        <v>26</v>
      </c>
    </row>
    <row r="270" spans="1:16" ht="26.25" customHeight="1" x14ac:dyDescent="0.25">
      <c r="A270" s="49"/>
      <c r="B270" s="50"/>
      <c r="C270" s="48"/>
      <c r="D270" s="48"/>
      <c r="E270" s="44" t="s">
        <v>7</v>
      </c>
      <c r="F270" s="47" t="s">
        <v>8</v>
      </c>
      <c r="G270" s="13">
        <v>0</v>
      </c>
      <c r="H270" s="13">
        <v>0</v>
      </c>
      <c r="I270" s="13">
        <v>0</v>
      </c>
      <c r="J270" s="13">
        <v>0</v>
      </c>
      <c r="K270" s="49"/>
    </row>
    <row r="271" spans="1:16" ht="26.25" customHeight="1" x14ac:dyDescent="0.25">
      <c r="A271" s="49"/>
      <c r="B271" s="50"/>
      <c r="C271" s="48"/>
      <c r="D271" s="48"/>
      <c r="E271" s="44" t="s">
        <v>9</v>
      </c>
      <c r="F271" s="47" t="s">
        <v>8</v>
      </c>
      <c r="G271" s="13">
        <v>0</v>
      </c>
      <c r="H271" s="13">
        <v>0</v>
      </c>
      <c r="I271" s="13">
        <v>0</v>
      </c>
      <c r="J271" s="13">
        <v>0</v>
      </c>
      <c r="K271" s="49"/>
    </row>
    <row r="272" spans="1:16" ht="26.25" customHeight="1" x14ac:dyDescent="0.25">
      <c r="A272" s="49"/>
      <c r="B272" s="50"/>
      <c r="C272" s="48"/>
      <c r="D272" s="48"/>
      <c r="E272" s="44" t="s">
        <v>10</v>
      </c>
      <c r="F272" s="47" t="s">
        <v>8</v>
      </c>
      <c r="G272" s="13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72" s="13">
        <f>92831510+1980000-60000-2100000-783507.51-317597.32</f>
        <v>91550405.170000002</v>
      </c>
      <c r="I272" s="13">
        <v>98806530</v>
      </c>
      <c r="J272" s="13">
        <v>101768700</v>
      </c>
      <c r="K272" s="49"/>
    </row>
    <row r="273" spans="1:11" ht="60" customHeight="1" x14ac:dyDescent="0.25">
      <c r="A273" s="49" t="s">
        <v>27</v>
      </c>
      <c r="B273" s="50" t="s">
        <v>4</v>
      </c>
      <c r="C273" s="48">
        <v>45292</v>
      </c>
      <c r="D273" s="48">
        <v>46752</v>
      </c>
      <c r="E273" s="44" t="s">
        <v>5</v>
      </c>
      <c r="F273" s="47" t="s">
        <v>36</v>
      </c>
      <c r="G273" s="13">
        <f>SUM(G274:G276)</f>
        <v>571408768.38</v>
      </c>
      <c r="H273" s="13">
        <f t="shared" ref="H273:I273" si="92">SUM(H274:H276)</f>
        <v>670324601.46000004</v>
      </c>
      <c r="I273" s="13">
        <f t="shared" si="92"/>
        <v>744743578.97000003</v>
      </c>
      <c r="J273" s="13">
        <f t="shared" ref="J273" si="93">SUM(J274:J276)</f>
        <v>785747263.73000002</v>
      </c>
      <c r="K273" s="49" t="s">
        <v>83</v>
      </c>
    </row>
    <row r="274" spans="1:11" ht="60" customHeight="1" x14ac:dyDescent="0.25">
      <c r="A274" s="49"/>
      <c r="B274" s="50"/>
      <c r="C274" s="48"/>
      <c r="D274" s="48"/>
      <c r="E274" s="44" t="s">
        <v>7</v>
      </c>
      <c r="F274" s="47" t="s">
        <v>8</v>
      </c>
      <c r="G274" s="13">
        <v>0</v>
      </c>
      <c r="H274" s="13">
        <v>0</v>
      </c>
      <c r="I274" s="13">
        <v>0</v>
      </c>
      <c r="J274" s="13">
        <v>0</v>
      </c>
      <c r="K274" s="49"/>
    </row>
    <row r="275" spans="1:11" ht="60" customHeight="1" x14ac:dyDescent="0.25">
      <c r="A275" s="49"/>
      <c r="B275" s="50"/>
      <c r="C275" s="48"/>
      <c r="D275" s="48"/>
      <c r="E275" s="44" t="s">
        <v>9</v>
      </c>
      <c r="F275" s="47" t="s">
        <v>8</v>
      </c>
      <c r="G275" s="13">
        <f>507058783.8+21866733.43+2000000+40483251.15</f>
        <v>571408768.38</v>
      </c>
      <c r="H275" s="13">
        <f>657574922.24+12749679.22</f>
        <v>670324601.46000004</v>
      </c>
      <c r="I275" s="13">
        <v>744743578.97000003</v>
      </c>
      <c r="J275" s="13">
        <v>785747263.73000002</v>
      </c>
      <c r="K275" s="49"/>
    </row>
    <row r="276" spans="1:11" ht="60" customHeight="1" x14ac:dyDescent="0.25">
      <c r="A276" s="49"/>
      <c r="B276" s="50"/>
      <c r="C276" s="48"/>
      <c r="D276" s="48"/>
      <c r="E276" s="44" t="s">
        <v>10</v>
      </c>
      <c r="F276" s="47" t="s">
        <v>8</v>
      </c>
      <c r="G276" s="13">
        <v>0</v>
      </c>
      <c r="H276" s="13">
        <v>0</v>
      </c>
      <c r="I276" s="13">
        <v>0</v>
      </c>
      <c r="J276" s="13">
        <v>0</v>
      </c>
      <c r="K276" s="49"/>
    </row>
    <row r="277" spans="1:11" ht="57.75" customHeight="1" x14ac:dyDescent="0.25">
      <c r="A277" s="49" t="s">
        <v>27</v>
      </c>
      <c r="B277" s="50" t="s">
        <v>4</v>
      </c>
      <c r="C277" s="48">
        <v>45292</v>
      </c>
      <c r="D277" s="48">
        <v>46752</v>
      </c>
      <c r="E277" s="44" t="s">
        <v>5</v>
      </c>
      <c r="F277" s="47" t="s">
        <v>38</v>
      </c>
      <c r="G277" s="13">
        <f>SUM(G278:G280)</f>
        <v>13972301.799999999</v>
      </c>
      <c r="H277" s="13">
        <f t="shared" ref="H277:I277" si="94">SUM(H278:H280)</f>
        <v>21598709.969999999</v>
      </c>
      <c r="I277" s="13">
        <f t="shared" si="94"/>
        <v>43343134.57</v>
      </c>
      <c r="J277" s="13">
        <f t="shared" ref="J277" si="95">SUM(J278:J280)</f>
        <v>46388278.140000001</v>
      </c>
      <c r="K277" s="49" t="s">
        <v>83</v>
      </c>
    </row>
    <row r="278" spans="1:11" ht="57.75" customHeight="1" x14ac:dyDescent="0.25">
      <c r="A278" s="49"/>
      <c r="B278" s="50"/>
      <c r="C278" s="48"/>
      <c r="D278" s="48"/>
      <c r="E278" s="44" t="s">
        <v>7</v>
      </c>
      <c r="F278" s="47" t="s">
        <v>8</v>
      </c>
      <c r="G278" s="13">
        <v>0</v>
      </c>
      <c r="H278" s="13">
        <v>0</v>
      </c>
      <c r="I278" s="13">
        <v>0</v>
      </c>
      <c r="J278" s="13">
        <v>0</v>
      </c>
      <c r="K278" s="49"/>
    </row>
    <row r="279" spans="1:11" ht="57.75" customHeight="1" x14ac:dyDescent="0.25">
      <c r="A279" s="49"/>
      <c r="B279" s="50"/>
      <c r="C279" s="48"/>
      <c r="D279" s="48"/>
      <c r="E279" s="44" t="s">
        <v>9</v>
      </c>
      <c r="F279" s="47" t="s">
        <v>8</v>
      </c>
      <c r="G279" s="13">
        <f>28205201.88-7517082-2000000-4715818.08</f>
        <v>13972301.799999999</v>
      </c>
      <c r="H279" s="13">
        <f>37598709.97-16000000</f>
        <v>21598709.969999999</v>
      </c>
      <c r="I279" s="13">
        <v>43343134.57</v>
      </c>
      <c r="J279" s="13">
        <v>46388278.140000001</v>
      </c>
      <c r="K279" s="49"/>
    </row>
    <row r="280" spans="1:11" ht="57.75" customHeight="1" x14ac:dyDescent="0.25">
      <c r="A280" s="49"/>
      <c r="B280" s="50"/>
      <c r="C280" s="48"/>
      <c r="D280" s="48"/>
      <c r="E280" s="44" t="s">
        <v>10</v>
      </c>
      <c r="F280" s="47" t="s">
        <v>8</v>
      </c>
      <c r="G280" s="13">
        <v>0</v>
      </c>
      <c r="H280" s="13">
        <v>0</v>
      </c>
      <c r="I280" s="13">
        <v>0</v>
      </c>
      <c r="J280" s="13">
        <v>0</v>
      </c>
      <c r="K280" s="49"/>
    </row>
    <row r="281" spans="1:11" ht="47.25" customHeight="1" x14ac:dyDescent="0.25">
      <c r="A281" s="49" t="s">
        <v>331</v>
      </c>
      <c r="B281" s="49" t="s">
        <v>106</v>
      </c>
      <c r="C281" s="48">
        <v>45292</v>
      </c>
      <c r="D281" s="48">
        <v>46752</v>
      </c>
      <c r="E281" s="44" t="s">
        <v>5</v>
      </c>
      <c r="F281" s="47" t="s">
        <v>39</v>
      </c>
      <c r="G281" s="13">
        <f>SUM(G282:G284)</f>
        <v>4044953.7700000005</v>
      </c>
      <c r="H281" s="13">
        <f t="shared" ref="H281:J281" si="96">SUM(H282:H284)</f>
        <v>3552085.79</v>
      </c>
      <c r="I281" s="13">
        <f t="shared" si="96"/>
        <v>3200723.24</v>
      </c>
      <c r="J281" s="13">
        <f t="shared" si="96"/>
        <v>1825590.38</v>
      </c>
      <c r="K281" s="49" t="s">
        <v>155</v>
      </c>
    </row>
    <row r="282" spans="1:11" ht="52.5" customHeight="1" x14ac:dyDescent="0.25">
      <c r="A282" s="49"/>
      <c r="B282" s="49"/>
      <c r="C282" s="48"/>
      <c r="D282" s="48"/>
      <c r="E282" s="44" t="s">
        <v>7</v>
      </c>
      <c r="F282" s="47" t="s">
        <v>8</v>
      </c>
      <c r="G282" s="13">
        <v>0</v>
      </c>
      <c r="H282" s="13">
        <v>0</v>
      </c>
      <c r="I282" s="13">
        <v>0</v>
      </c>
      <c r="J282" s="13">
        <v>0</v>
      </c>
      <c r="K282" s="49"/>
    </row>
    <row r="283" spans="1:11" ht="52.5" customHeight="1" x14ac:dyDescent="0.25">
      <c r="A283" s="49"/>
      <c r="B283" s="49"/>
      <c r="C283" s="48"/>
      <c r="D283" s="48"/>
      <c r="E283" s="44" t="s">
        <v>9</v>
      </c>
      <c r="F283" s="47" t="s">
        <v>8</v>
      </c>
      <c r="G283" s="13">
        <v>0</v>
      </c>
      <c r="H283" s="13">
        <v>0</v>
      </c>
      <c r="I283" s="13">
        <v>0</v>
      </c>
      <c r="J283" s="13">
        <v>0</v>
      </c>
      <c r="K283" s="49"/>
    </row>
    <row r="284" spans="1:11" ht="46.5" customHeight="1" x14ac:dyDescent="0.25">
      <c r="A284" s="49"/>
      <c r="B284" s="49"/>
      <c r="C284" s="48"/>
      <c r="D284" s="48"/>
      <c r="E284" s="44" t="s">
        <v>10</v>
      </c>
      <c r="F284" s="47" t="s">
        <v>8</v>
      </c>
      <c r="G284" s="13">
        <f>556870.44+131000+2317647.2+235718.45+182744.68+620973</f>
        <v>4044953.7700000005</v>
      </c>
      <c r="H284" s="13">
        <f>370685.52+1629314.48+314675.79+1250000-12590</f>
        <v>3552085.79</v>
      </c>
      <c r="I284" s="13">
        <f>119478.78+1081244.46+2000000</f>
        <v>3200723.24</v>
      </c>
      <c r="J284" s="13">
        <f>100000+1725590.38</f>
        <v>1825590.38</v>
      </c>
      <c r="K284" s="49"/>
    </row>
    <row r="285" spans="1:11" ht="34.5" customHeight="1" x14ac:dyDescent="0.25">
      <c r="A285" s="49" t="s">
        <v>332</v>
      </c>
      <c r="B285" s="49" t="s">
        <v>102</v>
      </c>
      <c r="C285" s="48">
        <v>45292</v>
      </c>
      <c r="D285" s="48">
        <v>46752</v>
      </c>
      <c r="E285" s="44" t="s">
        <v>5</v>
      </c>
      <c r="F285" s="47" t="s">
        <v>39</v>
      </c>
      <c r="G285" s="13">
        <f>SUM(G286:G288)</f>
        <v>1466500.3900000001</v>
      </c>
      <c r="H285" s="13">
        <f t="shared" ref="H285:J285" si="97">SUM(H286:H288)</f>
        <v>7558473.7000000002</v>
      </c>
      <c r="I285" s="13">
        <f t="shared" ref="I285" si="98">SUM(I286:I288)</f>
        <v>871626.3</v>
      </c>
      <c r="J285" s="13">
        <f t="shared" si="97"/>
        <v>3561365.01</v>
      </c>
      <c r="K285" s="49" t="s">
        <v>186</v>
      </c>
    </row>
    <row r="286" spans="1:11" ht="45.75" customHeight="1" x14ac:dyDescent="0.25">
      <c r="A286" s="49"/>
      <c r="B286" s="49"/>
      <c r="C286" s="48"/>
      <c r="D286" s="48"/>
      <c r="E286" s="44" t="s">
        <v>7</v>
      </c>
      <c r="F286" s="47" t="s">
        <v>8</v>
      </c>
      <c r="G286" s="13">
        <v>0</v>
      </c>
      <c r="H286" s="13">
        <v>0</v>
      </c>
      <c r="I286" s="13">
        <v>0</v>
      </c>
      <c r="J286" s="13">
        <v>0</v>
      </c>
      <c r="K286" s="49"/>
    </row>
    <row r="287" spans="1:11" ht="45.75" customHeight="1" x14ac:dyDescent="0.25">
      <c r="A287" s="49"/>
      <c r="B287" s="49"/>
      <c r="C287" s="48"/>
      <c r="D287" s="48"/>
      <c r="E287" s="44" t="s">
        <v>9</v>
      </c>
      <c r="F287" s="47" t="s">
        <v>8</v>
      </c>
      <c r="G287" s="13">
        <v>0</v>
      </c>
      <c r="H287" s="13">
        <v>0</v>
      </c>
      <c r="I287" s="13">
        <v>0</v>
      </c>
      <c r="J287" s="13">
        <v>0</v>
      </c>
      <c r="K287" s="49"/>
    </row>
    <row r="288" spans="1:11" ht="30" customHeight="1" x14ac:dyDescent="0.25">
      <c r="A288" s="49"/>
      <c r="B288" s="49"/>
      <c r="C288" s="48"/>
      <c r="D288" s="48"/>
      <c r="E288" s="44" t="s">
        <v>10</v>
      </c>
      <c r="F288" s="47" t="s">
        <v>8</v>
      </c>
      <c r="G288" s="13">
        <f>851402.83+209671+500000-94573.44</f>
        <v>1466500.3900000001</v>
      </c>
      <c r="H288" s="13">
        <f>80861.47+250000+100639.4+400125.28+84323.08+800000-125000+4708860+600000+658664.47</f>
        <v>7558473.7000000002</v>
      </c>
      <c r="I288" s="13">
        <f>800000+71626.3</f>
        <v>871626.3</v>
      </c>
      <c r="J288" s="13">
        <f>537967.67+3023397.34</f>
        <v>3561365.01</v>
      </c>
      <c r="K288" s="49"/>
    </row>
    <row r="289" spans="1:11" ht="51.75" customHeight="1" x14ac:dyDescent="0.25">
      <c r="A289" s="49" t="s">
        <v>346</v>
      </c>
      <c r="B289" s="49" t="s">
        <v>103</v>
      </c>
      <c r="C289" s="48">
        <v>45292</v>
      </c>
      <c r="D289" s="48">
        <v>46022</v>
      </c>
      <c r="E289" s="44" t="s">
        <v>5</v>
      </c>
      <c r="F289" s="47" t="s">
        <v>39</v>
      </c>
      <c r="G289" s="13">
        <f>SUM(G290:G292)</f>
        <v>3560934.29</v>
      </c>
      <c r="H289" s="13">
        <f t="shared" ref="H289:J289" si="99">SUM(H290:H292)</f>
        <v>4312303.8099999996</v>
      </c>
      <c r="I289" s="13">
        <f t="shared" ref="I289" si="100">SUM(I290:I292)</f>
        <v>0</v>
      </c>
      <c r="J289" s="13">
        <f t="shared" si="99"/>
        <v>1553073.58</v>
      </c>
      <c r="K289" s="54" t="s">
        <v>186</v>
      </c>
    </row>
    <row r="290" spans="1:11" ht="44.25" customHeight="1" x14ac:dyDescent="0.25">
      <c r="A290" s="49"/>
      <c r="B290" s="49"/>
      <c r="C290" s="48"/>
      <c r="D290" s="48"/>
      <c r="E290" s="44" t="s">
        <v>7</v>
      </c>
      <c r="F290" s="47" t="s">
        <v>8</v>
      </c>
      <c r="G290" s="13">
        <v>0</v>
      </c>
      <c r="H290" s="13">
        <v>0</v>
      </c>
      <c r="I290" s="13">
        <v>0</v>
      </c>
      <c r="J290" s="13">
        <v>0</v>
      </c>
      <c r="K290" s="55"/>
    </row>
    <row r="291" spans="1:11" ht="44.25" customHeight="1" x14ac:dyDescent="0.25">
      <c r="A291" s="49"/>
      <c r="B291" s="49"/>
      <c r="C291" s="48"/>
      <c r="D291" s="48"/>
      <c r="E291" s="44" t="s">
        <v>9</v>
      </c>
      <c r="F291" s="47" t="s">
        <v>8</v>
      </c>
      <c r="G291" s="13">
        <v>0</v>
      </c>
      <c r="H291" s="13">
        <v>0</v>
      </c>
      <c r="I291" s="13">
        <v>0</v>
      </c>
      <c r="J291" s="13">
        <v>0</v>
      </c>
      <c r="K291" s="55"/>
    </row>
    <row r="292" spans="1:11" ht="44.25" customHeight="1" x14ac:dyDescent="0.25">
      <c r="A292" s="49"/>
      <c r="B292" s="49"/>
      <c r="C292" s="48"/>
      <c r="D292" s="48"/>
      <c r="E292" s="44" t="s">
        <v>10</v>
      </c>
      <c r="F292" s="47" t="s">
        <v>8</v>
      </c>
      <c r="G292" s="13">
        <f>726683.63-175900+200000+644177.76+225333.95+1684490+300000-43851.05</f>
        <v>3560934.29</v>
      </c>
      <c r="H292" s="13">
        <f>556485.11+3377300+21264.58+357254.12</f>
        <v>4312303.8099999996</v>
      </c>
      <c r="I292" s="13">
        <v>0</v>
      </c>
      <c r="J292" s="13">
        <v>1553073.58</v>
      </c>
      <c r="K292" s="56"/>
    </row>
    <row r="293" spans="1:11" ht="54" customHeight="1" x14ac:dyDescent="0.25">
      <c r="A293" s="49" t="s">
        <v>321</v>
      </c>
      <c r="B293" s="49" t="s">
        <v>107</v>
      </c>
      <c r="C293" s="48">
        <v>45292</v>
      </c>
      <c r="D293" s="48">
        <v>46387</v>
      </c>
      <c r="E293" s="44" t="s">
        <v>5</v>
      </c>
      <c r="F293" s="47" t="s">
        <v>39</v>
      </c>
      <c r="G293" s="13">
        <f>SUM(G294:G296)</f>
        <v>1926770.9299999995</v>
      </c>
      <c r="H293" s="13">
        <f t="shared" ref="H293:J293" si="101">SUM(H294:H296)</f>
        <v>13689037.66</v>
      </c>
      <c r="I293" s="13">
        <f t="shared" ref="I293" si="102">SUM(I294:I296)</f>
        <v>3744251.89</v>
      </c>
      <c r="J293" s="13">
        <f t="shared" si="101"/>
        <v>0</v>
      </c>
      <c r="K293" s="49" t="s">
        <v>186</v>
      </c>
    </row>
    <row r="294" spans="1:11" ht="54" customHeight="1" x14ac:dyDescent="0.25">
      <c r="A294" s="49"/>
      <c r="B294" s="49"/>
      <c r="C294" s="48"/>
      <c r="D294" s="48"/>
      <c r="E294" s="44" t="s">
        <v>7</v>
      </c>
      <c r="F294" s="47" t="s">
        <v>8</v>
      </c>
      <c r="G294" s="13">
        <v>0</v>
      </c>
      <c r="H294" s="13">
        <v>0</v>
      </c>
      <c r="I294" s="13">
        <v>0</v>
      </c>
      <c r="J294" s="13">
        <v>0</v>
      </c>
      <c r="K294" s="49"/>
    </row>
    <row r="295" spans="1:11" ht="54" customHeight="1" x14ac:dyDescent="0.25">
      <c r="A295" s="49"/>
      <c r="B295" s="49"/>
      <c r="C295" s="48"/>
      <c r="D295" s="48"/>
      <c r="E295" s="44" t="s">
        <v>9</v>
      </c>
      <c r="F295" s="47" t="s">
        <v>8</v>
      </c>
      <c r="G295" s="13">
        <v>0</v>
      </c>
      <c r="H295" s="13">
        <v>0</v>
      </c>
      <c r="I295" s="13">
        <v>0</v>
      </c>
      <c r="J295" s="13">
        <v>0</v>
      </c>
      <c r="K295" s="49"/>
    </row>
    <row r="296" spans="1:11" ht="54" customHeight="1" x14ac:dyDescent="0.25">
      <c r="A296" s="49"/>
      <c r="B296" s="49"/>
      <c r="C296" s="48"/>
      <c r="D296" s="48"/>
      <c r="E296" s="44" t="s">
        <v>10</v>
      </c>
      <c r="F296" s="47" t="s">
        <v>8</v>
      </c>
      <c r="G296" s="13">
        <f>111581.96+239497.28+123358.85+400000+300000+175510.08+400000+329103.9+685381.44+65066.3-50298.37-777430.51-75000</f>
        <v>1926770.9299999995</v>
      </c>
      <c r="H296" s="13">
        <f>13539037.66+150000</f>
        <v>13689037.66</v>
      </c>
      <c r="I296" s="13">
        <f>366951.89+3377300</f>
        <v>3744251.89</v>
      </c>
      <c r="J296" s="13">
        <v>0</v>
      </c>
      <c r="K296" s="49"/>
    </row>
    <row r="297" spans="1:11" ht="55.5" customHeight="1" x14ac:dyDescent="0.25">
      <c r="A297" s="49" t="s">
        <v>342</v>
      </c>
      <c r="B297" s="49" t="s">
        <v>109</v>
      </c>
      <c r="C297" s="48">
        <v>45292</v>
      </c>
      <c r="D297" s="48">
        <v>46752</v>
      </c>
      <c r="E297" s="44" t="s">
        <v>5</v>
      </c>
      <c r="F297" s="47" t="s">
        <v>39</v>
      </c>
      <c r="G297" s="13">
        <f>SUM(G298:G300)</f>
        <v>2916716.4</v>
      </c>
      <c r="H297" s="13">
        <f t="shared" ref="H297:J297" si="103">SUM(H298:H300)</f>
        <v>2440257.38</v>
      </c>
      <c r="I297" s="13">
        <f t="shared" ref="I297" si="104">SUM(I298:I300)</f>
        <v>435145.09</v>
      </c>
      <c r="J297" s="13">
        <f t="shared" si="103"/>
        <v>3074500</v>
      </c>
      <c r="K297" s="49" t="s">
        <v>186</v>
      </c>
    </row>
    <row r="298" spans="1:11" ht="55.5" customHeight="1" x14ac:dyDescent="0.25">
      <c r="A298" s="49"/>
      <c r="B298" s="49"/>
      <c r="C298" s="48"/>
      <c r="D298" s="48"/>
      <c r="E298" s="44" t="s">
        <v>7</v>
      </c>
      <c r="F298" s="47" t="s">
        <v>8</v>
      </c>
      <c r="G298" s="13">
        <v>0</v>
      </c>
      <c r="H298" s="13">
        <v>0</v>
      </c>
      <c r="I298" s="13">
        <v>0</v>
      </c>
      <c r="J298" s="13">
        <v>0</v>
      </c>
      <c r="K298" s="49"/>
    </row>
    <row r="299" spans="1:11" ht="55.5" customHeight="1" x14ac:dyDescent="0.25">
      <c r="A299" s="49"/>
      <c r="B299" s="49"/>
      <c r="C299" s="48"/>
      <c r="D299" s="48"/>
      <c r="E299" s="44" t="s">
        <v>9</v>
      </c>
      <c r="F299" s="47" t="s">
        <v>8</v>
      </c>
      <c r="G299" s="13">
        <v>0</v>
      </c>
      <c r="H299" s="13">
        <v>0</v>
      </c>
      <c r="I299" s="13">
        <v>0</v>
      </c>
      <c r="J299" s="13">
        <v>0</v>
      </c>
      <c r="K299" s="49"/>
    </row>
    <row r="300" spans="1:11" ht="55.5" customHeight="1" x14ac:dyDescent="0.25">
      <c r="A300" s="49"/>
      <c r="B300" s="49"/>
      <c r="C300" s="48"/>
      <c r="D300" s="48"/>
      <c r="E300" s="44" t="s">
        <v>10</v>
      </c>
      <c r="F300" s="47" t="s">
        <v>8</v>
      </c>
      <c r="G300" s="13">
        <f>499659.23+1500000+299089.9-32331.1+600000+50298.37</f>
        <v>2916716.4</v>
      </c>
      <c r="H300" s="13">
        <f>1000000+600000+827667.38+12590</f>
        <v>2440257.38</v>
      </c>
      <c r="I300" s="13">
        <v>435145.09</v>
      </c>
      <c r="J300" s="13">
        <v>3074500</v>
      </c>
      <c r="K300" s="49"/>
    </row>
    <row r="301" spans="1:11" ht="50.25" customHeight="1" x14ac:dyDescent="0.25">
      <c r="A301" s="49" t="s">
        <v>351</v>
      </c>
      <c r="B301" s="49" t="s">
        <v>121</v>
      </c>
      <c r="C301" s="48">
        <v>45292</v>
      </c>
      <c r="D301" s="48">
        <v>46752</v>
      </c>
      <c r="E301" s="44" t="s">
        <v>5</v>
      </c>
      <c r="F301" s="47" t="s">
        <v>39</v>
      </c>
      <c r="G301" s="13">
        <f>SUM(G302:G304)</f>
        <v>1385512.2099999997</v>
      </c>
      <c r="H301" s="13">
        <f t="shared" ref="H301:J301" si="105">SUM(H302:H304)</f>
        <v>5397835.5899999999</v>
      </c>
      <c r="I301" s="13">
        <f t="shared" ref="I301" si="106">SUM(I302:I304)</f>
        <v>5016739.67</v>
      </c>
      <c r="J301" s="13">
        <f t="shared" si="105"/>
        <v>510011.25</v>
      </c>
      <c r="K301" s="54" t="s">
        <v>186</v>
      </c>
    </row>
    <row r="302" spans="1:11" ht="50.25" customHeight="1" x14ac:dyDescent="0.25">
      <c r="A302" s="49"/>
      <c r="B302" s="49"/>
      <c r="C302" s="48"/>
      <c r="D302" s="48"/>
      <c r="E302" s="44" t="s">
        <v>7</v>
      </c>
      <c r="F302" s="47" t="s">
        <v>8</v>
      </c>
      <c r="G302" s="13">
        <v>0</v>
      </c>
      <c r="H302" s="13">
        <v>0</v>
      </c>
      <c r="I302" s="13">
        <v>0</v>
      </c>
      <c r="J302" s="13">
        <v>0</v>
      </c>
      <c r="K302" s="55"/>
    </row>
    <row r="303" spans="1:11" ht="50.25" customHeight="1" x14ac:dyDescent="0.25">
      <c r="A303" s="49"/>
      <c r="B303" s="49"/>
      <c r="C303" s="48"/>
      <c r="D303" s="48"/>
      <c r="E303" s="44" t="s">
        <v>9</v>
      </c>
      <c r="F303" s="47" t="s">
        <v>8</v>
      </c>
      <c r="G303" s="13">
        <v>0</v>
      </c>
      <c r="H303" s="13">
        <v>0</v>
      </c>
      <c r="I303" s="13">
        <v>0</v>
      </c>
      <c r="J303" s="13">
        <v>0</v>
      </c>
      <c r="K303" s="55"/>
    </row>
    <row r="304" spans="1:11" ht="50.25" customHeight="1" x14ac:dyDescent="0.25">
      <c r="A304" s="49"/>
      <c r="B304" s="49"/>
      <c r="C304" s="48"/>
      <c r="D304" s="48"/>
      <c r="E304" s="44" t="s">
        <v>10</v>
      </c>
      <c r="F304" s="47" t="s">
        <v>8</v>
      </c>
      <c r="G304" s="13">
        <f>763126.47+110427.68+183627.02+202243.63+126087.41</f>
        <v>1385512.2099999997</v>
      </c>
      <c r="H304" s="13">
        <f>3275783.79+1500000+153361.96+368291.28+100398.56</f>
        <v>5397835.5899999999</v>
      </c>
      <c r="I304" s="13">
        <f>510011.25+4506728.42</f>
        <v>5016739.67</v>
      </c>
      <c r="J304" s="13">
        <v>510011.25</v>
      </c>
      <c r="K304" s="56"/>
    </row>
    <row r="305" spans="1:11" ht="36.75" customHeight="1" x14ac:dyDescent="0.25">
      <c r="A305" s="49" t="s">
        <v>333</v>
      </c>
      <c r="B305" s="49" t="s">
        <v>189</v>
      </c>
      <c r="C305" s="48">
        <v>45292</v>
      </c>
      <c r="D305" s="48">
        <v>46752</v>
      </c>
      <c r="E305" s="44" t="s">
        <v>5</v>
      </c>
      <c r="F305" s="47" t="s">
        <v>39</v>
      </c>
      <c r="G305" s="13">
        <f>SUM(G306:G308)</f>
        <v>2626591.88</v>
      </c>
      <c r="H305" s="13">
        <f t="shared" ref="H305:J305" si="107">SUM(H306:H308)</f>
        <v>7090179.2300000004</v>
      </c>
      <c r="I305" s="13">
        <f t="shared" ref="I305" si="108">SUM(I306:I308)</f>
        <v>0</v>
      </c>
      <c r="J305" s="13">
        <f t="shared" si="107"/>
        <v>6595121.29</v>
      </c>
      <c r="K305" s="49" t="s">
        <v>186</v>
      </c>
    </row>
    <row r="306" spans="1:11" ht="43.5" customHeight="1" x14ac:dyDescent="0.25">
      <c r="A306" s="49"/>
      <c r="B306" s="49"/>
      <c r="C306" s="48"/>
      <c r="D306" s="48"/>
      <c r="E306" s="44" t="s">
        <v>7</v>
      </c>
      <c r="F306" s="47" t="s">
        <v>8</v>
      </c>
      <c r="G306" s="13">
        <v>0</v>
      </c>
      <c r="H306" s="13">
        <v>0</v>
      </c>
      <c r="I306" s="13">
        <v>0</v>
      </c>
      <c r="J306" s="13">
        <v>0</v>
      </c>
      <c r="K306" s="49"/>
    </row>
    <row r="307" spans="1:11" ht="43.5" customHeight="1" x14ac:dyDescent="0.25">
      <c r="A307" s="49"/>
      <c r="B307" s="49"/>
      <c r="C307" s="48"/>
      <c r="D307" s="48"/>
      <c r="E307" s="44" t="s">
        <v>9</v>
      </c>
      <c r="F307" s="47" t="s">
        <v>8</v>
      </c>
      <c r="G307" s="13">
        <v>0</v>
      </c>
      <c r="H307" s="13">
        <v>0</v>
      </c>
      <c r="I307" s="13">
        <v>0</v>
      </c>
      <c r="J307" s="13">
        <v>0</v>
      </c>
      <c r="K307" s="49"/>
    </row>
    <row r="308" spans="1:11" ht="30.75" customHeight="1" x14ac:dyDescent="0.25">
      <c r="A308" s="49"/>
      <c r="B308" s="49"/>
      <c r="C308" s="48"/>
      <c r="D308" s="48"/>
      <c r="E308" s="44" t="s">
        <v>10</v>
      </c>
      <c r="F308" s="47" t="s">
        <v>8</v>
      </c>
      <c r="G308" s="13">
        <f>126087.41+122700+1730753.63+147050.84+500000</f>
        <v>2626591.88</v>
      </c>
      <c r="H308" s="13">
        <f>990179.23+500000+3500000+2100000</f>
        <v>7090179.2300000004</v>
      </c>
      <c r="I308" s="13">
        <v>0</v>
      </c>
      <c r="J308" s="13">
        <f>1162955.89+965889.73+4466275.67</f>
        <v>6595121.29</v>
      </c>
      <c r="K308" s="49"/>
    </row>
    <row r="309" spans="1:11" ht="33.75" customHeight="1" x14ac:dyDescent="0.25">
      <c r="A309" s="49" t="s">
        <v>349</v>
      </c>
      <c r="B309" s="49" t="s">
        <v>115</v>
      </c>
      <c r="C309" s="48">
        <v>45292</v>
      </c>
      <c r="D309" s="48">
        <v>46387</v>
      </c>
      <c r="E309" s="44" t="s">
        <v>5</v>
      </c>
      <c r="F309" s="47" t="s">
        <v>39</v>
      </c>
      <c r="G309" s="13">
        <f>SUM(G310:G312)</f>
        <v>1161048.8</v>
      </c>
      <c r="H309" s="13">
        <f t="shared" ref="H309:J309" si="109">SUM(H310:H312)</f>
        <v>1899388.1300000001</v>
      </c>
      <c r="I309" s="13">
        <f t="shared" ref="I309" si="110">SUM(I310:I312)</f>
        <v>811073.52</v>
      </c>
      <c r="J309" s="13">
        <f t="shared" si="109"/>
        <v>0</v>
      </c>
      <c r="K309" s="49" t="s">
        <v>190</v>
      </c>
    </row>
    <row r="310" spans="1:11" ht="30.75" customHeight="1" x14ac:dyDescent="0.25">
      <c r="A310" s="49"/>
      <c r="B310" s="49"/>
      <c r="C310" s="48"/>
      <c r="D310" s="48"/>
      <c r="E310" s="44" t="s">
        <v>7</v>
      </c>
      <c r="F310" s="47" t="s">
        <v>8</v>
      </c>
      <c r="G310" s="13">
        <v>0</v>
      </c>
      <c r="H310" s="13">
        <v>0</v>
      </c>
      <c r="I310" s="13">
        <v>0</v>
      </c>
      <c r="J310" s="13">
        <v>0</v>
      </c>
      <c r="K310" s="49"/>
    </row>
    <row r="311" spans="1:11" ht="30.75" customHeight="1" x14ac:dyDescent="0.25">
      <c r="A311" s="49"/>
      <c r="B311" s="49"/>
      <c r="C311" s="48"/>
      <c r="D311" s="48"/>
      <c r="E311" s="44" t="s">
        <v>9</v>
      </c>
      <c r="F311" s="47" t="s">
        <v>8</v>
      </c>
      <c r="G311" s="13">
        <v>0</v>
      </c>
      <c r="H311" s="13">
        <v>0</v>
      </c>
      <c r="I311" s="13">
        <v>0</v>
      </c>
      <c r="J311" s="13">
        <v>0</v>
      </c>
      <c r="K311" s="49"/>
    </row>
    <row r="312" spans="1:11" ht="22.5" customHeight="1" x14ac:dyDescent="0.25">
      <c r="A312" s="49"/>
      <c r="B312" s="49"/>
      <c r="C312" s="48"/>
      <c r="D312" s="48"/>
      <c r="E312" s="44" t="s">
        <v>10</v>
      </c>
      <c r="F312" s="47" t="s">
        <v>8</v>
      </c>
      <c r="G312" s="13">
        <f>100000+1061048.8</f>
        <v>1161048.8</v>
      </c>
      <c r="H312" s="13">
        <f>215880.62+900000+783507.51</f>
        <v>1899388.1300000001</v>
      </c>
      <c r="I312" s="13">
        <v>811073.52</v>
      </c>
      <c r="J312" s="13">
        <v>0</v>
      </c>
      <c r="K312" s="49"/>
    </row>
    <row r="313" spans="1:11" ht="54.75" customHeight="1" x14ac:dyDescent="0.25">
      <c r="A313" s="49" t="s">
        <v>334</v>
      </c>
      <c r="B313" s="49" t="s">
        <v>110</v>
      </c>
      <c r="C313" s="48">
        <v>45292</v>
      </c>
      <c r="D313" s="48">
        <v>46022</v>
      </c>
      <c r="E313" s="44" t="s">
        <v>5</v>
      </c>
      <c r="F313" s="47" t="s">
        <v>39</v>
      </c>
      <c r="G313" s="13">
        <f>SUM(G314:G316)</f>
        <v>2402447.87</v>
      </c>
      <c r="H313" s="13">
        <f t="shared" ref="H313:J313" si="111">SUM(H314:H316)</f>
        <v>578552.65999999992</v>
      </c>
      <c r="I313" s="13">
        <f t="shared" ref="I313" si="112">SUM(I314:I316)</f>
        <v>0</v>
      </c>
      <c r="J313" s="13">
        <f t="shared" si="111"/>
        <v>0</v>
      </c>
      <c r="K313" s="49" t="s">
        <v>188</v>
      </c>
    </row>
    <row r="314" spans="1:11" ht="42" customHeight="1" x14ac:dyDescent="0.25">
      <c r="A314" s="49"/>
      <c r="B314" s="49"/>
      <c r="C314" s="48"/>
      <c r="D314" s="48"/>
      <c r="E314" s="44" t="s">
        <v>7</v>
      </c>
      <c r="F314" s="47" t="s">
        <v>8</v>
      </c>
      <c r="G314" s="13">
        <v>0</v>
      </c>
      <c r="H314" s="13">
        <v>0</v>
      </c>
      <c r="I314" s="13">
        <v>0</v>
      </c>
      <c r="J314" s="13">
        <v>0</v>
      </c>
      <c r="K314" s="49"/>
    </row>
    <row r="315" spans="1:11" ht="42" customHeight="1" x14ac:dyDescent="0.25">
      <c r="A315" s="49"/>
      <c r="B315" s="49"/>
      <c r="C315" s="48"/>
      <c r="D315" s="48"/>
      <c r="E315" s="44" t="s">
        <v>9</v>
      </c>
      <c r="F315" s="47" t="s">
        <v>8</v>
      </c>
      <c r="G315" s="13">
        <v>0</v>
      </c>
      <c r="H315" s="13">
        <v>0</v>
      </c>
      <c r="I315" s="13">
        <v>0</v>
      </c>
      <c r="J315" s="13">
        <v>0</v>
      </c>
      <c r="K315" s="49"/>
    </row>
    <row r="316" spans="1:11" ht="42" customHeight="1" x14ac:dyDescent="0.25">
      <c r="A316" s="49"/>
      <c r="B316" s="49"/>
      <c r="C316" s="48"/>
      <c r="D316" s="48"/>
      <c r="E316" s="44" t="s">
        <v>10</v>
      </c>
      <c r="F316" s="47" t="s">
        <v>8</v>
      </c>
      <c r="G316" s="13">
        <f>502438.92+56718.51+750000+126174.53+403094.1+64021.81+500000</f>
        <v>2402447.87</v>
      </c>
      <c r="H316" s="13">
        <f>55000+523552.66</f>
        <v>578552.65999999992</v>
      </c>
      <c r="I316" s="13">
        <v>0</v>
      </c>
      <c r="J316" s="13">
        <v>0</v>
      </c>
      <c r="K316" s="49"/>
    </row>
    <row r="317" spans="1:11" ht="23.25" customHeight="1" x14ac:dyDescent="0.25">
      <c r="A317" s="49" t="s">
        <v>290</v>
      </c>
      <c r="B317" s="49" t="s">
        <v>142</v>
      </c>
      <c r="C317" s="48">
        <v>45292</v>
      </c>
      <c r="D317" s="48">
        <v>46387</v>
      </c>
      <c r="E317" s="44" t="s">
        <v>5</v>
      </c>
      <c r="F317" s="47" t="s">
        <v>39</v>
      </c>
      <c r="G317" s="13">
        <f>SUM(G318:G320)</f>
        <v>2938638.23</v>
      </c>
      <c r="H317" s="13">
        <f t="shared" ref="H317:J317" si="113">SUM(H318:H320)</f>
        <v>1676715.5</v>
      </c>
      <c r="I317" s="13">
        <f t="shared" ref="I317" si="114">SUM(I318:I320)</f>
        <v>354897.97</v>
      </c>
      <c r="J317" s="13">
        <f t="shared" si="113"/>
        <v>0</v>
      </c>
      <c r="K317" s="49" t="s">
        <v>108</v>
      </c>
    </row>
    <row r="318" spans="1:11" ht="27.75" customHeight="1" x14ac:dyDescent="0.25">
      <c r="A318" s="49"/>
      <c r="B318" s="49"/>
      <c r="C318" s="48"/>
      <c r="D318" s="48"/>
      <c r="E318" s="44" t="s">
        <v>7</v>
      </c>
      <c r="F318" s="47" t="s">
        <v>8</v>
      </c>
      <c r="G318" s="13">
        <v>0</v>
      </c>
      <c r="H318" s="13">
        <v>0</v>
      </c>
      <c r="I318" s="13">
        <v>0</v>
      </c>
      <c r="J318" s="13">
        <v>0</v>
      </c>
      <c r="K318" s="49"/>
    </row>
    <row r="319" spans="1:11" ht="27.75" customHeight="1" x14ac:dyDescent="0.25">
      <c r="A319" s="49"/>
      <c r="B319" s="49"/>
      <c r="C319" s="48"/>
      <c r="D319" s="48"/>
      <c r="E319" s="44" t="s">
        <v>9</v>
      </c>
      <c r="F319" s="47" t="s">
        <v>8</v>
      </c>
      <c r="G319" s="13">
        <v>0</v>
      </c>
      <c r="H319" s="13">
        <v>0</v>
      </c>
      <c r="I319" s="13">
        <v>0</v>
      </c>
      <c r="J319" s="13">
        <v>0</v>
      </c>
      <c r="K319" s="49"/>
    </row>
    <row r="320" spans="1:11" ht="27.75" customHeight="1" x14ac:dyDescent="0.25">
      <c r="A320" s="49"/>
      <c r="B320" s="49"/>
      <c r="C320" s="48"/>
      <c r="D320" s="48"/>
      <c r="E320" s="44" t="s">
        <v>10</v>
      </c>
      <c r="F320" s="47" t="s">
        <v>8</v>
      </c>
      <c r="G320" s="13">
        <f>1502557+547907.7+260000+777430.51-149256.98</f>
        <v>2938638.23</v>
      </c>
      <c r="H320" s="13">
        <f>1502557+174158.5</f>
        <v>1676715.5</v>
      </c>
      <c r="I320" s="13">
        <v>354897.97</v>
      </c>
      <c r="J320" s="13">
        <v>0</v>
      </c>
      <c r="K320" s="49"/>
    </row>
    <row r="321" spans="1:11" ht="34.5" customHeight="1" x14ac:dyDescent="0.25">
      <c r="A321" s="49" t="s">
        <v>291</v>
      </c>
      <c r="B321" s="49" t="s">
        <v>120</v>
      </c>
      <c r="C321" s="48">
        <v>45292</v>
      </c>
      <c r="D321" s="48">
        <v>46022</v>
      </c>
      <c r="E321" s="44" t="s">
        <v>5</v>
      </c>
      <c r="F321" s="47" t="s">
        <v>39</v>
      </c>
      <c r="G321" s="13">
        <f>SUM(G322:G324)</f>
        <v>2410843.66</v>
      </c>
      <c r="H321" s="13">
        <f t="shared" ref="H321:J321" si="115">SUM(H322:H324)</f>
        <v>1354106.8799999999</v>
      </c>
      <c r="I321" s="13">
        <f t="shared" ref="I321" si="116">SUM(I322:I324)</f>
        <v>3972850.03</v>
      </c>
      <c r="J321" s="13">
        <f t="shared" si="115"/>
        <v>0</v>
      </c>
      <c r="K321" s="49" t="s">
        <v>108</v>
      </c>
    </row>
    <row r="322" spans="1:11" ht="36" customHeight="1" x14ac:dyDescent="0.25">
      <c r="A322" s="49"/>
      <c r="B322" s="49"/>
      <c r="C322" s="48"/>
      <c r="D322" s="48"/>
      <c r="E322" s="44" t="s">
        <v>7</v>
      </c>
      <c r="F322" s="47" t="s">
        <v>8</v>
      </c>
      <c r="G322" s="13">
        <v>0</v>
      </c>
      <c r="H322" s="13">
        <v>0</v>
      </c>
      <c r="I322" s="13">
        <v>0</v>
      </c>
      <c r="J322" s="13">
        <v>0</v>
      </c>
      <c r="K322" s="49"/>
    </row>
    <row r="323" spans="1:11" ht="36" customHeight="1" x14ac:dyDescent="0.25">
      <c r="A323" s="49"/>
      <c r="B323" s="49"/>
      <c r="C323" s="48"/>
      <c r="D323" s="48"/>
      <c r="E323" s="44" t="s">
        <v>9</v>
      </c>
      <c r="F323" s="47" t="s">
        <v>8</v>
      </c>
      <c r="G323" s="13">
        <v>0</v>
      </c>
      <c r="H323" s="13">
        <v>0</v>
      </c>
      <c r="I323" s="13">
        <v>0</v>
      </c>
      <c r="J323" s="13">
        <v>0</v>
      </c>
      <c r="K323" s="49"/>
    </row>
    <row r="324" spans="1:11" ht="34.5" customHeight="1" x14ac:dyDescent="0.25">
      <c r="A324" s="49"/>
      <c r="B324" s="49"/>
      <c r="C324" s="48"/>
      <c r="D324" s="48"/>
      <c r="E324" s="44" t="s">
        <v>10</v>
      </c>
      <c r="F324" s="47" t="s">
        <v>8</v>
      </c>
      <c r="G324" s="13">
        <f>2376393.66+34450</f>
        <v>2410843.66</v>
      </c>
      <c r="H324" s="13">
        <v>1354106.8799999999</v>
      </c>
      <c r="I324" s="13">
        <f>3461550.03+511300</f>
        <v>3972850.03</v>
      </c>
      <c r="J324" s="13">
        <v>0</v>
      </c>
      <c r="K324" s="49"/>
    </row>
    <row r="325" spans="1:11" ht="27" customHeight="1" x14ac:dyDescent="0.25">
      <c r="A325" s="49" t="s">
        <v>355</v>
      </c>
      <c r="B325" s="49" t="s">
        <v>111</v>
      </c>
      <c r="C325" s="48">
        <v>45292</v>
      </c>
      <c r="D325" s="48">
        <v>46387</v>
      </c>
      <c r="E325" s="44" t="s">
        <v>5</v>
      </c>
      <c r="F325" s="47" t="s">
        <v>39</v>
      </c>
      <c r="G325" s="13">
        <f>SUM(G326:G328)</f>
        <v>597896.37</v>
      </c>
      <c r="H325" s="13">
        <f t="shared" ref="H325:J325" si="117">SUM(H326:H328)</f>
        <v>4463433.92</v>
      </c>
      <c r="I325" s="13">
        <f t="shared" ref="I325" si="118">SUM(I326:I328)</f>
        <v>608885.35</v>
      </c>
      <c r="J325" s="13">
        <f t="shared" si="117"/>
        <v>0</v>
      </c>
      <c r="K325" s="49" t="s">
        <v>108</v>
      </c>
    </row>
    <row r="326" spans="1:11" ht="33.75" customHeight="1" x14ac:dyDescent="0.25">
      <c r="A326" s="49"/>
      <c r="B326" s="49"/>
      <c r="C326" s="48"/>
      <c r="D326" s="48"/>
      <c r="E326" s="44" t="s">
        <v>7</v>
      </c>
      <c r="F326" s="47" t="s">
        <v>8</v>
      </c>
      <c r="G326" s="13">
        <v>0</v>
      </c>
      <c r="H326" s="13">
        <v>0</v>
      </c>
      <c r="I326" s="13">
        <v>0</v>
      </c>
      <c r="J326" s="13">
        <v>0</v>
      </c>
      <c r="K326" s="49"/>
    </row>
    <row r="327" spans="1:11" ht="33.75" customHeight="1" x14ac:dyDescent="0.25">
      <c r="A327" s="49"/>
      <c r="B327" s="49"/>
      <c r="C327" s="48"/>
      <c r="D327" s="48"/>
      <c r="E327" s="44" t="s">
        <v>9</v>
      </c>
      <c r="F327" s="47" t="s">
        <v>8</v>
      </c>
      <c r="G327" s="13">
        <v>0</v>
      </c>
      <c r="H327" s="13">
        <v>0</v>
      </c>
      <c r="I327" s="13">
        <v>0</v>
      </c>
      <c r="J327" s="13">
        <v>0</v>
      </c>
      <c r="K327" s="49"/>
    </row>
    <row r="328" spans="1:11" ht="27" customHeight="1" x14ac:dyDescent="0.25">
      <c r="A328" s="49"/>
      <c r="B328" s="49"/>
      <c r="C328" s="48"/>
      <c r="D328" s="48"/>
      <c r="E328" s="44" t="s">
        <v>10</v>
      </c>
      <c r="F328" s="47" t="s">
        <v>8</v>
      </c>
      <c r="G328" s="13">
        <f>520300+279840-202243.63</f>
        <v>597896.37</v>
      </c>
      <c r="H328" s="13">
        <f>3500000+684433.92+279000</f>
        <v>4463433.92</v>
      </c>
      <c r="I328" s="13">
        <v>608885.35</v>
      </c>
      <c r="J328" s="13">
        <v>0</v>
      </c>
      <c r="K328" s="49"/>
    </row>
    <row r="329" spans="1:11" ht="27" customHeight="1" x14ac:dyDescent="0.25">
      <c r="A329" s="49" t="s">
        <v>292</v>
      </c>
      <c r="B329" s="49" t="s">
        <v>122</v>
      </c>
      <c r="C329" s="48">
        <v>45292</v>
      </c>
      <c r="D329" s="48">
        <v>46022</v>
      </c>
      <c r="E329" s="44" t="s">
        <v>5</v>
      </c>
      <c r="F329" s="47" t="s">
        <v>39</v>
      </c>
      <c r="G329" s="13">
        <f>SUM(G330:G332)</f>
        <v>947680</v>
      </c>
      <c r="H329" s="13">
        <f t="shared" ref="H329:J329" si="119">SUM(H330:H332)</f>
        <v>350000</v>
      </c>
      <c r="I329" s="13">
        <f t="shared" ref="I329" si="120">SUM(I330:I332)</f>
        <v>0</v>
      </c>
      <c r="J329" s="13">
        <f t="shared" si="119"/>
        <v>0</v>
      </c>
      <c r="K329" s="49" t="s">
        <v>191</v>
      </c>
    </row>
    <row r="330" spans="1:11" ht="27" customHeight="1" x14ac:dyDescent="0.25">
      <c r="A330" s="49"/>
      <c r="B330" s="49"/>
      <c r="C330" s="48"/>
      <c r="D330" s="48"/>
      <c r="E330" s="44" t="s">
        <v>7</v>
      </c>
      <c r="F330" s="47" t="s">
        <v>8</v>
      </c>
      <c r="G330" s="13">
        <v>0</v>
      </c>
      <c r="H330" s="13">
        <v>0</v>
      </c>
      <c r="I330" s="13">
        <v>0</v>
      </c>
      <c r="J330" s="13">
        <v>0</v>
      </c>
      <c r="K330" s="49"/>
    </row>
    <row r="331" spans="1:11" ht="27" customHeight="1" x14ac:dyDescent="0.25">
      <c r="A331" s="49"/>
      <c r="B331" s="49"/>
      <c r="C331" s="48"/>
      <c r="D331" s="48"/>
      <c r="E331" s="44" t="s">
        <v>9</v>
      </c>
      <c r="F331" s="47" t="s">
        <v>8</v>
      </c>
      <c r="G331" s="13">
        <v>0</v>
      </c>
      <c r="H331" s="13">
        <v>0</v>
      </c>
      <c r="I331" s="13">
        <v>0</v>
      </c>
      <c r="J331" s="13">
        <v>0</v>
      </c>
      <c r="K331" s="49"/>
    </row>
    <row r="332" spans="1:11" ht="27" customHeight="1" x14ac:dyDescent="0.25">
      <c r="A332" s="49"/>
      <c r="B332" s="49"/>
      <c r="C332" s="48"/>
      <c r="D332" s="48"/>
      <c r="E332" s="44" t="s">
        <v>10</v>
      </c>
      <c r="F332" s="47" t="s">
        <v>8</v>
      </c>
      <c r="G332" s="13">
        <f>263400+336600+287200+60480</f>
        <v>947680</v>
      </c>
      <c r="H332" s="13">
        <f>150000+200000</f>
        <v>350000</v>
      </c>
      <c r="I332" s="13">
        <v>0</v>
      </c>
      <c r="J332" s="13">
        <v>0</v>
      </c>
      <c r="K332" s="49"/>
    </row>
    <row r="333" spans="1:11" ht="63.75" customHeight="1" x14ac:dyDescent="0.25">
      <c r="A333" s="49" t="s">
        <v>353</v>
      </c>
      <c r="B333" s="49" t="s">
        <v>50</v>
      </c>
      <c r="C333" s="48">
        <v>45292</v>
      </c>
      <c r="D333" s="48">
        <v>46752</v>
      </c>
      <c r="E333" s="44" t="s">
        <v>5</v>
      </c>
      <c r="F333" s="47" t="s">
        <v>39</v>
      </c>
      <c r="G333" s="13">
        <f>SUM(G334:G336)</f>
        <v>908473.31</v>
      </c>
      <c r="H333" s="13">
        <f t="shared" ref="H333:J333" si="121">SUM(H334:H336)</f>
        <v>2533718.8299999996</v>
      </c>
      <c r="I333" s="13">
        <f t="shared" ref="I333" si="122">SUM(I334:I336)</f>
        <v>755377.09</v>
      </c>
      <c r="J333" s="13">
        <f t="shared" si="121"/>
        <v>2321601.44</v>
      </c>
      <c r="K333" s="49" t="s">
        <v>138</v>
      </c>
    </row>
    <row r="334" spans="1:11" ht="63.75" customHeight="1" x14ac:dyDescent="0.25">
      <c r="A334" s="49"/>
      <c r="B334" s="49"/>
      <c r="C334" s="48"/>
      <c r="D334" s="48"/>
      <c r="E334" s="44" t="s">
        <v>7</v>
      </c>
      <c r="F334" s="47" t="s">
        <v>8</v>
      </c>
      <c r="G334" s="13">
        <v>0</v>
      </c>
      <c r="H334" s="13">
        <v>0</v>
      </c>
      <c r="I334" s="13">
        <v>0</v>
      </c>
      <c r="J334" s="13">
        <v>0</v>
      </c>
      <c r="K334" s="49"/>
    </row>
    <row r="335" spans="1:11" ht="63.75" customHeight="1" x14ac:dyDescent="0.25">
      <c r="A335" s="49"/>
      <c r="B335" s="49"/>
      <c r="C335" s="48"/>
      <c r="D335" s="48"/>
      <c r="E335" s="44" t="s">
        <v>9</v>
      </c>
      <c r="F335" s="47" t="s">
        <v>8</v>
      </c>
      <c r="G335" s="13">
        <v>0</v>
      </c>
      <c r="H335" s="13">
        <v>0</v>
      </c>
      <c r="I335" s="13">
        <v>0</v>
      </c>
      <c r="J335" s="13">
        <v>0</v>
      </c>
      <c r="K335" s="49"/>
    </row>
    <row r="336" spans="1:11" ht="63.75" customHeight="1" x14ac:dyDescent="0.25">
      <c r="A336" s="49"/>
      <c r="B336" s="49"/>
      <c r="C336" s="48"/>
      <c r="D336" s="48"/>
      <c r="E336" s="44" t="s">
        <v>10</v>
      </c>
      <c r="F336" s="47" t="s">
        <v>8</v>
      </c>
      <c r="G336" s="13">
        <f>27327.68+250000+123358.85+34450+121341.4+61000+121341.35+31229.54+43851.05+94573.44</f>
        <v>908473.31</v>
      </c>
      <c r="H336" s="13">
        <f>70306.18+27563.14+113764+2322085.51</f>
        <v>2533718.8299999996</v>
      </c>
      <c r="I336" s="13">
        <f>215629.16+288361.34+70306.18+81080.41+100000</f>
        <v>755377.09</v>
      </c>
      <c r="J336" s="13">
        <f>725740+1595861.44</f>
        <v>2321601.44</v>
      </c>
      <c r="K336" s="49"/>
    </row>
    <row r="337" spans="1:11" ht="25.5" customHeight="1" x14ac:dyDescent="0.25">
      <c r="A337" s="49" t="s">
        <v>293</v>
      </c>
      <c r="B337" s="49" t="s">
        <v>154</v>
      </c>
      <c r="C337" s="48">
        <v>45292</v>
      </c>
      <c r="D337" s="48">
        <v>46752</v>
      </c>
      <c r="E337" s="44" t="s">
        <v>5</v>
      </c>
      <c r="F337" s="47" t="s">
        <v>39</v>
      </c>
      <c r="G337" s="2">
        <f>SUM(G338:G340)</f>
        <v>275978.19</v>
      </c>
      <c r="H337" s="2">
        <f t="shared" ref="H337:J337" si="123">SUM(H338:H340)</f>
        <v>0</v>
      </c>
      <c r="I337" s="2">
        <f t="shared" ref="I337" si="124">SUM(I338:I340)</f>
        <v>0</v>
      </c>
      <c r="J337" s="2">
        <f t="shared" si="123"/>
        <v>6787727.5199999996</v>
      </c>
      <c r="K337" s="49" t="s">
        <v>138</v>
      </c>
    </row>
    <row r="338" spans="1:11" ht="34.5" customHeight="1" x14ac:dyDescent="0.25">
      <c r="A338" s="49"/>
      <c r="B338" s="49"/>
      <c r="C338" s="48"/>
      <c r="D338" s="48"/>
      <c r="E338" s="44" t="s">
        <v>7</v>
      </c>
      <c r="F338" s="47" t="s">
        <v>8</v>
      </c>
      <c r="G338" s="2">
        <v>0</v>
      </c>
      <c r="H338" s="2">
        <v>0</v>
      </c>
      <c r="I338" s="2">
        <v>0</v>
      </c>
      <c r="J338" s="2">
        <v>0</v>
      </c>
      <c r="K338" s="49"/>
    </row>
    <row r="339" spans="1:11" ht="34.5" customHeight="1" x14ac:dyDescent="0.25">
      <c r="A339" s="49"/>
      <c r="B339" s="49"/>
      <c r="C339" s="48"/>
      <c r="D339" s="48"/>
      <c r="E339" s="44" t="s">
        <v>9</v>
      </c>
      <c r="F339" s="47" t="s">
        <v>8</v>
      </c>
      <c r="G339" s="2">
        <v>0</v>
      </c>
      <c r="H339" s="2">
        <v>0</v>
      </c>
      <c r="I339" s="2">
        <v>0</v>
      </c>
      <c r="J339" s="2">
        <v>0</v>
      </c>
      <c r="K339" s="49"/>
    </row>
    <row r="340" spans="1:11" ht="27.75" customHeight="1" x14ac:dyDescent="0.25">
      <c r="A340" s="49"/>
      <c r="B340" s="49"/>
      <c r="C340" s="48"/>
      <c r="D340" s="48"/>
      <c r="E340" s="44" t="s">
        <v>10</v>
      </c>
      <c r="F340" s="47" t="s">
        <v>8</v>
      </c>
      <c r="G340" s="2">
        <f>100000-64021.81+240000</f>
        <v>275978.19</v>
      </c>
      <c r="H340" s="2">
        <v>0</v>
      </c>
      <c r="I340" s="2">
        <v>0</v>
      </c>
      <c r="J340" s="2">
        <f>5826627.43+961100.09</f>
        <v>6787727.5199999996</v>
      </c>
      <c r="K340" s="49"/>
    </row>
    <row r="341" spans="1:11" ht="25.5" customHeight="1" x14ac:dyDescent="0.25">
      <c r="A341" s="49" t="s">
        <v>294</v>
      </c>
      <c r="B341" s="49" t="s">
        <v>156</v>
      </c>
      <c r="C341" s="48">
        <v>45292</v>
      </c>
      <c r="D341" s="48">
        <v>46752</v>
      </c>
      <c r="E341" s="44" t="s">
        <v>5</v>
      </c>
      <c r="F341" s="47" t="s">
        <v>39</v>
      </c>
      <c r="G341" s="2">
        <f>SUM(G342:G344)</f>
        <v>379256.98</v>
      </c>
      <c r="H341" s="2">
        <f t="shared" ref="H341:J341" si="125">SUM(H342:H344)</f>
        <v>625000</v>
      </c>
      <c r="I341" s="2">
        <f t="shared" ref="I341" si="126">SUM(I342:I344)</f>
        <v>0</v>
      </c>
      <c r="J341" s="2">
        <f t="shared" si="125"/>
        <v>253100.51</v>
      </c>
      <c r="K341" s="49" t="s">
        <v>157</v>
      </c>
    </row>
    <row r="342" spans="1:11" ht="25.5" customHeight="1" x14ac:dyDescent="0.25">
      <c r="A342" s="49"/>
      <c r="B342" s="49"/>
      <c r="C342" s="48"/>
      <c r="D342" s="48"/>
      <c r="E342" s="44" t="s">
        <v>7</v>
      </c>
      <c r="F342" s="47" t="s">
        <v>8</v>
      </c>
      <c r="G342" s="2">
        <v>0</v>
      </c>
      <c r="H342" s="2">
        <v>0</v>
      </c>
      <c r="I342" s="2">
        <v>0</v>
      </c>
      <c r="J342" s="2">
        <v>0</v>
      </c>
      <c r="K342" s="49"/>
    </row>
    <row r="343" spans="1:11" ht="25.5" customHeight="1" x14ac:dyDescent="0.25">
      <c r="A343" s="49"/>
      <c r="B343" s="49"/>
      <c r="C343" s="48"/>
      <c r="D343" s="48"/>
      <c r="E343" s="44" t="s">
        <v>9</v>
      </c>
      <c r="F343" s="47" t="s">
        <v>8</v>
      </c>
      <c r="G343" s="2">
        <v>0</v>
      </c>
      <c r="H343" s="2">
        <v>0</v>
      </c>
      <c r="I343" s="2">
        <v>0</v>
      </c>
      <c r="J343" s="2">
        <v>0</v>
      </c>
      <c r="K343" s="49"/>
    </row>
    <row r="344" spans="1:11" ht="25.5" customHeight="1" x14ac:dyDescent="0.25">
      <c r="A344" s="49"/>
      <c r="B344" s="49"/>
      <c r="C344" s="48"/>
      <c r="D344" s="48"/>
      <c r="E344" s="44" t="s">
        <v>10</v>
      </c>
      <c r="F344" s="47" t="s">
        <v>8</v>
      </c>
      <c r="G344" s="2">
        <f>230000+149256.98</f>
        <v>379256.98</v>
      </c>
      <c r="H344" s="2">
        <f>125000+500000</f>
        <v>625000</v>
      </c>
      <c r="I344" s="2">
        <v>0</v>
      </c>
      <c r="J344" s="2">
        <v>253100.51</v>
      </c>
      <c r="K344" s="49"/>
    </row>
    <row r="345" spans="1:11" ht="25.5" customHeight="1" x14ac:dyDescent="0.25">
      <c r="A345" s="49" t="s">
        <v>341</v>
      </c>
      <c r="B345" s="49" t="s">
        <v>153</v>
      </c>
      <c r="C345" s="48">
        <v>45292</v>
      </c>
      <c r="D345" s="48">
        <v>46752</v>
      </c>
      <c r="E345" s="44" t="s">
        <v>5</v>
      </c>
      <c r="F345" s="47" t="s">
        <v>39</v>
      </c>
      <c r="G345" s="2">
        <f>SUM(G346:G348)</f>
        <v>109450</v>
      </c>
      <c r="H345" s="2">
        <f t="shared" ref="H345:J345" si="127">SUM(H346:H348)</f>
        <v>360000</v>
      </c>
      <c r="I345" s="2">
        <f t="shared" ref="I345" si="128">SUM(I346:I348)</f>
        <v>0</v>
      </c>
      <c r="J345" s="2">
        <f t="shared" si="127"/>
        <v>4682552.9800000004</v>
      </c>
      <c r="K345" s="49" t="s">
        <v>104</v>
      </c>
    </row>
    <row r="346" spans="1:11" ht="25.5" customHeight="1" x14ac:dyDescent="0.25">
      <c r="A346" s="49"/>
      <c r="B346" s="49"/>
      <c r="C346" s="48"/>
      <c r="D346" s="48"/>
      <c r="E346" s="44" t="s">
        <v>7</v>
      </c>
      <c r="F346" s="47" t="s">
        <v>8</v>
      </c>
      <c r="G346" s="2">
        <v>0</v>
      </c>
      <c r="H346" s="2">
        <v>0</v>
      </c>
      <c r="I346" s="2">
        <v>0</v>
      </c>
      <c r="J346" s="2">
        <v>0</v>
      </c>
      <c r="K346" s="49"/>
    </row>
    <row r="347" spans="1:11" ht="25.5" customHeight="1" x14ac:dyDescent="0.25">
      <c r="A347" s="49"/>
      <c r="B347" s="49"/>
      <c r="C347" s="48"/>
      <c r="D347" s="48"/>
      <c r="E347" s="44" t="s">
        <v>9</v>
      </c>
      <c r="F347" s="47" t="s">
        <v>8</v>
      </c>
      <c r="G347" s="2">
        <v>0</v>
      </c>
      <c r="H347" s="2">
        <v>0</v>
      </c>
      <c r="I347" s="2">
        <v>0</v>
      </c>
      <c r="J347" s="2">
        <v>0</v>
      </c>
      <c r="K347" s="49"/>
    </row>
    <row r="348" spans="1:11" ht="39" customHeight="1" x14ac:dyDescent="0.25">
      <c r="A348" s="49"/>
      <c r="B348" s="49"/>
      <c r="C348" s="48"/>
      <c r="D348" s="48"/>
      <c r="E348" s="44" t="s">
        <v>10</v>
      </c>
      <c r="F348" s="47" t="s">
        <v>8</v>
      </c>
      <c r="G348" s="2">
        <f>34450+75000</f>
        <v>109450</v>
      </c>
      <c r="H348" s="2">
        <f>300000+60000</f>
        <v>360000</v>
      </c>
      <c r="I348" s="2">
        <v>0</v>
      </c>
      <c r="J348" s="2">
        <f>4482552.98+200000</f>
        <v>4682552.9800000004</v>
      </c>
      <c r="K348" s="49"/>
    </row>
    <row r="349" spans="1:11" ht="48.75" customHeight="1" x14ac:dyDescent="0.25">
      <c r="A349" s="49" t="s">
        <v>140</v>
      </c>
      <c r="B349" s="49" t="s">
        <v>98</v>
      </c>
      <c r="C349" s="48">
        <v>45292</v>
      </c>
      <c r="D349" s="48">
        <v>46022</v>
      </c>
      <c r="E349" s="44" t="s">
        <v>5</v>
      </c>
      <c r="F349" s="47" t="s">
        <v>97</v>
      </c>
      <c r="G349" s="13">
        <f>SUM(G350:G352)</f>
        <v>2000000</v>
      </c>
      <c r="H349" s="13">
        <f t="shared" ref="H349:J349" si="129">SUM(H350:H352)</f>
        <v>1782159.3</v>
      </c>
      <c r="I349" s="13">
        <f t="shared" si="129"/>
        <v>0</v>
      </c>
      <c r="J349" s="13">
        <f t="shared" si="129"/>
        <v>0</v>
      </c>
      <c r="K349" s="49" t="s">
        <v>29</v>
      </c>
    </row>
    <row r="350" spans="1:11" ht="48.75" customHeight="1" x14ac:dyDescent="0.25">
      <c r="A350" s="49"/>
      <c r="B350" s="49"/>
      <c r="C350" s="48"/>
      <c r="D350" s="48"/>
      <c r="E350" s="44" t="s">
        <v>7</v>
      </c>
      <c r="F350" s="47" t="s">
        <v>8</v>
      </c>
      <c r="G350" s="13">
        <v>0</v>
      </c>
      <c r="H350" s="13">
        <v>0</v>
      </c>
      <c r="I350" s="13">
        <v>0</v>
      </c>
      <c r="J350" s="13">
        <v>0</v>
      </c>
      <c r="K350" s="49"/>
    </row>
    <row r="351" spans="1:11" ht="48.75" customHeight="1" x14ac:dyDescent="0.25">
      <c r="A351" s="49"/>
      <c r="B351" s="49"/>
      <c r="C351" s="48"/>
      <c r="D351" s="48"/>
      <c r="E351" s="44" t="s">
        <v>9</v>
      </c>
      <c r="F351" s="47" t="s">
        <v>8</v>
      </c>
      <c r="G351" s="6">
        <v>1884600</v>
      </c>
      <c r="H351" s="6">
        <v>1672556.5</v>
      </c>
      <c r="I351" s="6">
        <v>0</v>
      </c>
      <c r="J351" s="13">
        <v>0</v>
      </c>
      <c r="K351" s="49"/>
    </row>
    <row r="352" spans="1:11" ht="48.75" customHeight="1" x14ac:dyDescent="0.25">
      <c r="A352" s="49"/>
      <c r="B352" s="49"/>
      <c r="C352" s="48"/>
      <c r="D352" s="48"/>
      <c r="E352" s="44" t="s">
        <v>10</v>
      </c>
      <c r="F352" s="47" t="s">
        <v>8</v>
      </c>
      <c r="G352" s="6">
        <v>115400</v>
      </c>
      <c r="H352" s="6">
        <v>109602.8</v>
      </c>
      <c r="I352" s="6">
        <v>0</v>
      </c>
      <c r="J352" s="13">
        <v>0</v>
      </c>
      <c r="K352" s="49"/>
    </row>
    <row r="353" spans="1:11" ht="48" customHeight="1" x14ac:dyDescent="0.25">
      <c r="A353" s="49" t="s">
        <v>295</v>
      </c>
      <c r="B353" s="49" t="s">
        <v>139</v>
      </c>
      <c r="C353" s="48">
        <v>45292</v>
      </c>
      <c r="D353" s="48">
        <v>46752</v>
      </c>
      <c r="E353" s="44" t="s">
        <v>5</v>
      </c>
      <c r="F353" s="47" t="s">
        <v>97</v>
      </c>
      <c r="G353" s="13">
        <f>SUM(G354:G356)</f>
        <v>5285259.47</v>
      </c>
      <c r="H353" s="13">
        <f t="shared" ref="H353:J353" si="130">SUM(H354:H356)</f>
        <v>0</v>
      </c>
      <c r="I353" s="13">
        <f t="shared" si="130"/>
        <v>455700</v>
      </c>
      <c r="J353" s="13">
        <f t="shared" si="130"/>
        <v>6058208.8899999997</v>
      </c>
      <c r="K353" s="49" t="s">
        <v>29</v>
      </c>
    </row>
    <row r="354" spans="1:11" ht="48" customHeight="1" x14ac:dyDescent="0.25">
      <c r="A354" s="49"/>
      <c r="B354" s="49"/>
      <c r="C354" s="48"/>
      <c r="D354" s="48"/>
      <c r="E354" s="44" t="s">
        <v>7</v>
      </c>
      <c r="F354" s="47" t="s">
        <v>8</v>
      </c>
      <c r="G354" s="13">
        <v>0</v>
      </c>
      <c r="H354" s="13">
        <v>0</v>
      </c>
      <c r="I354" s="13">
        <v>0</v>
      </c>
      <c r="J354" s="13">
        <v>0</v>
      </c>
      <c r="K354" s="49"/>
    </row>
    <row r="355" spans="1:11" ht="48" customHeight="1" x14ac:dyDescent="0.25">
      <c r="A355" s="49"/>
      <c r="B355" s="49"/>
      <c r="C355" s="48"/>
      <c r="D355" s="48"/>
      <c r="E355" s="44" t="s">
        <v>9</v>
      </c>
      <c r="F355" s="47" t="s">
        <v>8</v>
      </c>
      <c r="G355" s="6">
        <v>4980300</v>
      </c>
      <c r="H355" s="13">
        <v>0</v>
      </c>
      <c r="I355" s="13">
        <v>427674.45</v>
      </c>
      <c r="J355" s="6">
        <v>5685629.04</v>
      </c>
      <c r="K355" s="49"/>
    </row>
    <row r="356" spans="1:11" ht="48" customHeight="1" x14ac:dyDescent="0.25">
      <c r="A356" s="49"/>
      <c r="B356" s="49"/>
      <c r="C356" s="48"/>
      <c r="D356" s="48"/>
      <c r="E356" s="44" t="s">
        <v>10</v>
      </c>
      <c r="F356" s="47" t="s">
        <v>8</v>
      </c>
      <c r="G356" s="6">
        <v>304959.46999999997</v>
      </c>
      <c r="H356" s="13">
        <v>0</v>
      </c>
      <c r="I356" s="13">
        <v>28025.55</v>
      </c>
      <c r="J356" s="6">
        <v>372579.85</v>
      </c>
      <c r="K356" s="49"/>
    </row>
    <row r="357" spans="1:11" ht="48" customHeight="1" x14ac:dyDescent="0.25">
      <c r="A357" s="49" t="s">
        <v>300</v>
      </c>
      <c r="B357" s="49" t="s">
        <v>301</v>
      </c>
      <c r="C357" s="48">
        <v>45658</v>
      </c>
      <c r="D357" s="48">
        <v>46387</v>
      </c>
      <c r="E357" s="44" t="s">
        <v>5</v>
      </c>
      <c r="F357" s="47" t="s">
        <v>40</v>
      </c>
      <c r="G357" s="13">
        <f>SUM(G358:G360)</f>
        <v>0</v>
      </c>
      <c r="H357" s="13">
        <f t="shared" ref="H357:J357" si="131">SUM(H358:H360)</f>
        <v>499620</v>
      </c>
      <c r="I357" s="13">
        <f t="shared" si="131"/>
        <v>455700</v>
      </c>
      <c r="J357" s="13">
        <f t="shared" si="131"/>
        <v>0</v>
      </c>
      <c r="K357" s="49" t="s">
        <v>29</v>
      </c>
    </row>
    <row r="358" spans="1:11" ht="48" customHeight="1" x14ac:dyDescent="0.25">
      <c r="A358" s="49"/>
      <c r="B358" s="49"/>
      <c r="C358" s="48"/>
      <c r="D358" s="48"/>
      <c r="E358" s="44" t="s">
        <v>7</v>
      </c>
      <c r="F358" s="47" t="s">
        <v>8</v>
      </c>
      <c r="G358" s="13">
        <v>0</v>
      </c>
      <c r="H358" s="13">
        <v>0</v>
      </c>
      <c r="I358" s="13">
        <v>0</v>
      </c>
      <c r="J358" s="13">
        <v>0</v>
      </c>
      <c r="K358" s="49"/>
    </row>
    <row r="359" spans="1:11" ht="48" customHeight="1" x14ac:dyDescent="0.25">
      <c r="A359" s="49"/>
      <c r="B359" s="49"/>
      <c r="C359" s="48"/>
      <c r="D359" s="48"/>
      <c r="E359" s="44" t="s">
        <v>9</v>
      </c>
      <c r="F359" s="47" t="s">
        <v>8</v>
      </c>
      <c r="G359" s="13">
        <v>0</v>
      </c>
      <c r="H359" s="6">
        <v>468893.37</v>
      </c>
      <c r="I359" s="6">
        <v>427674.45</v>
      </c>
      <c r="J359" s="6">
        <v>0</v>
      </c>
      <c r="K359" s="49"/>
    </row>
    <row r="360" spans="1:11" ht="48" customHeight="1" x14ac:dyDescent="0.25">
      <c r="A360" s="49"/>
      <c r="B360" s="49"/>
      <c r="C360" s="48"/>
      <c r="D360" s="48"/>
      <c r="E360" s="44" t="s">
        <v>10</v>
      </c>
      <c r="F360" s="47" t="s">
        <v>8</v>
      </c>
      <c r="G360" s="13">
        <v>0</v>
      </c>
      <c r="H360" s="6">
        <v>30726.63</v>
      </c>
      <c r="I360" s="6">
        <v>28025.55</v>
      </c>
      <c r="J360" s="6">
        <v>0</v>
      </c>
      <c r="K360" s="49"/>
    </row>
    <row r="361" spans="1:11" ht="48" customHeight="1" x14ac:dyDescent="0.25">
      <c r="A361" s="49" t="s">
        <v>302</v>
      </c>
      <c r="B361" s="49" t="s">
        <v>303</v>
      </c>
      <c r="C361" s="48">
        <v>46023</v>
      </c>
      <c r="D361" s="48">
        <v>46387</v>
      </c>
      <c r="E361" s="44" t="s">
        <v>5</v>
      </c>
      <c r="F361" s="47" t="s">
        <v>40</v>
      </c>
      <c r="G361" s="13">
        <f>SUM(G362:G364)</f>
        <v>0</v>
      </c>
      <c r="H361" s="13">
        <f t="shared" ref="H361:J361" si="132">SUM(H362:H364)</f>
        <v>0</v>
      </c>
      <c r="I361" s="13">
        <f t="shared" si="132"/>
        <v>455600</v>
      </c>
      <c r="J361" s="13">
        <f t="shared" si="132"/>
        <v>0</v>
      </c>
      <c r="K361" s="49" t="s">
        <v>29</v>
      </c>
    </row>
    <row r="362" spans="1:11" ht="48" customHeight="1" x14ac:dyDescent="0.25">
      <c r="A362" s="49"/>
      <c r="B362" s="49"/>
      <c r="C362" s="48"/>
      <c r="D362" s="48"/>
      <c r="E362" s="44" t="s">
        <v>7</v>
      </c>
      <c r="F362" s="47" t="s">
        <v>8</v>
      </c>
      <c r="G362" s="13">
        <v>0</v>
      </c>
      <c r="H362" s="13">
        <v>0</v>
      </c>
      <c r="I362" s="13">
        <v>0</v>
      </c>
      <c r="J362" s="13">
        <v>0</v>
      </c>
      <c r="K362" s="49"/>
    </row>
    <row r="363" spans="1:11" ht="48" customHeight="1" x14ac:dyDescent="0.25">
      <c r="A363" s="49"/>
      <c r="B363" s="49"/>
      <c r="C363" s="48"/>
      <c r="D363" s="48"/>
      <c r="E363" s="44" t="s">
        <v>9</v>
      </c>
      <c r="F363" s="47" t="s">
        <v>8</v>
      </c>
      <c r="G363" s="13">
        <v>0</v>
      </c>
      <c r="H363" s="6">
        <v>0</v>
      </c>
      <c r="I363" s="6">
        <v>427580.6</v>
      </c>
      <c r="J363" s="6">
        <v>0</v>
      </c>
      <c r="K363" s="49"/>
    </row>
    <row r="364" spans="1:11" ht="48" customHeight="1" x14ac:dyDescent="0.25">
      <c r="A364" s="49"/>
      <c r="B364" s="49"/>
      <c r="C364" s="48"/>
      <c r="D364" s="48"/>
      <c r="E364" s="44" t="s">
        <v>10</v>
      </c>
      <c r="F364" s="47" t="s">
        <v>8</v>
      </c>
      <c r="G364" s="13">
        <v>0</v>
      </c>
      <c r="H364" s="6">
        <v>0</v>
      </c>
      <c r="I364" s="6">
        <v>28019.4</v>
      </c>
      <c r="J364" s="6">
        <v>0</v>
      </c>
      <c r="K364" s="49"/>
    </row>
    <row r="365" spans="1:11" ht="48" customHeight="1" x14ac:dyDescent="0.25">
      <c r="A365" s="49" t="s">
        <v>305</v>
      </c>
      <c r="B365" s="49" t="s">
        <v>306</v>
      </c>
      <c r="C365" s="48">
        <v>45658</v>
      </c>
      <c r="D365" s="48">
        <v>46752</v>
      </c>
      <c r="E365" s="44" t="s">
        <v>5</v>
      </c>
      <c r="F365" s="47" t="s">
        <v>40</v>
      </c>
      <c r="G365" s="13">
        <f>SUM(G366:G368)</f>
        <v>0</v>
      </c>
      <c r="H365" s="13">
        <f t="shared" ref="H365:J365" si="133">SUM(H366:H368)</f>
        <v>318097</v>
      </c>
      <c r="I365" s="13">
        <f t="shared" si="133"/>
        <v>0</v>
      </c>
      <c r="J365" s="13">
        <f t="shared" si="133"/>
        <v>457000</v>
      </c>
      <c r="K365" s="49" t="s">
        <v>29</v>
      </c>
    </row>
    <row r="366" spans="1:11" ht="48" customHeight="1" x14ac:dyDescent="0.25">
      <c r="A366" s="49"/>
      <c r="B366" s="49"/>
      <c r="C366" s="48"/>
      <c r="D366" s="48"/>
      <c r="E366" s="44" t="s">
        <v>7</v>
      </c>
      <c r="F366" s="47" t="s">
        <v>8</v>
      </c>
      <c r="G366" s="13">
        <v>0</v>
      </c>
      <c r="H366" s="13">
        <v>0</v>
      </c>
      <c r="I366" s="13">
        <v>0</v>
      </c>
      <c r="J366" s="13">
        <v>0</v>
      </c>
      <c r="K366" s="49"/>
    </row>
    <row r="367" spans="1:11" ht="48" customHeight="1" x14ac:dyDescent="0.25">
      <c r="A367" s="49"/>
      <c r="B367" s="49"/>
      <c r="C367" s="48"/>
      <c r="D367" s="48"/>
      <c r="E367" s="44" t="s">
        <v>9</v>
      </c>
      <c r="F367" s="47" t="s">
        <v>8</v>
      </c>
      <c r="G367" s="13">
        <v>0</v>
      </c>
      <c r="H367" s="6">
        <v>298534.03000000003</v>
      </c>
      <c r="I367" s="6">
        <v>0</v>
      </c>
      <c r="J367" s="6">
        <v>428894.5</v>
      </c>
      <c r="K367" s="49"/>
    </row>
    <row r="368" spans="1:11" ht="48" customHeight="1" x14ac:dyDescent="0.25">
      <c r="A368" s="49"/>
      <c r="B368" s="49"/>
      <c r="C368" s="48"/>
      <c r="D368" s="48"/>
      <c r="E368" s="44" t="s">
        <v>10</v>
      </c>
      <c r="F368" s="47" t="s">
        <v>8</v>
      </c>
      <c r="G368" s="13">
        <v>0</v>
      </c>
      <c r="H368" s="6">
        <v>19562.97</v>
      </c>
      <c r="I368" s="6">
        <v>0</v>
      </c>
      <c r="J368" s="6">
        <v>28105.5</v>
      </c>
      <c r="K368" s="49"/>
    </row>
    <row r="369" spans="1:11" ht="48" customHeight="1" x14ac:dyDescent="0.25">
      <c r="A369" s="49" t="s">
        <v>296</v>
      </c>
      <c r="B369" s="49" t="s">
        <v>143</v>
      </c>
      <c r="C369" s="48">
        <v>46388</v>
      </c>
      <c r="D369" s="48">
        <v>46752</v>
      </c>
      <c r="E369" s="44" t="s">
        <v>5</v>
      </c>
      <c r="F369" s="47" t="s">
        <v>40</v>
      </c>
      <c r="G369" s="13">
        <f>SUM(G370:G372)</f>
        <v>0</v>
      </c>
      <c r="H369" s="13">
        <f t="shared" ref="H369:J369" si="134">SUM(H370:H372)</f>
        <v>0</v>
      </c>
      <c r="I369" s="13">
        <f t="shared" si="134"/>
        <v>0</v>
      </c>
      <c r="J369" s="13">
        <f t="shared" si="134"/>
        <v>457000</v>
      </c>
      <c r="K369" s="49" t="s">
        <v>29</v>
      </c>
    </row>
    <row r="370" spans="1:11" ht="48" customHeight="1" x14ac:dyDescent="0.25">
      <c r="A370" s="49"/>
      <c r="B370" s="49"/>
      <c r="C370" s="48"/>
      <c r="D370" s="48"/>
      <c r="E370" s="44" t="s">
        <v>7</v>
      </c>
      <c r="F370" s="47" t="s">
        <v>8</v>
      </c>
      <c r="G370" s="13">
        <v>0</v>
      </c>
      <c r="H370" s="13">
        <v>0</v>
      </c>
      <c r="I370" s="13">
        <v>0</v>
      </c>
      <c r="J370" s="13">
        <v>0</v>
      </c>
      <c r="K370" s="49"/>
    </row>
    <row r="371" spans="1:11" ht="48" customHeight="1" x14ac:dyDescent="0.25">
      <c r="A371" s="49"/>
      <c r="B371" s="49"/>
      <c r="C371" s="48"/>
      <c r="D371" s="48"/>
      <c r="E371" s="44" t="s">
        <v>9</v>
      </c>
      <c r="F371" s="47" t="s">
        <v>8</v>
      </c>
      <c r="G371" s="13">
        <v>0</v>
      </c>
      <c r="H371" s="6">
        <v>0</v>
      </c>
      <c r="I371" s="6">
        <v>0</v>
      </c>
      <c r="J371" s="6">
        <v>428894.5</v>
      </c>
      <c r="K371" s="49"/>
    </row>
    <row r="372" spans="1:11" ht="48" customHeight="1" x14ac:dyDescent="0.25">
      <c r="A372" s="49"/>
      <c r="B372" s="49"/>
      <c r="C372" s="48"/>
      <c r="D372" s="48"/>
      <c r="E372" s="44" t="s">
        <v>10</v>
      </c>
      <c r="F372" s="47" t="s">
        <v>8</v>
      </c>
      <c r="G372" s="13">
        <v>0</v>
      </c>
      <c r="H372" s="6">
        <v>0</v>
      </c>
      <c r="I372" s="6">
        <v>0</v>
      </c>
      <c r="J372" s="6">
        <v>28105.5</v>
      </c>
      <c r="K372" s="49"/>
    </row>
    <row r="373" spans="1:11" ht="48" customHeight="1" x14ac:dyDescent="0.25">
      <c r="A373" s="49" t="s">
        <v>304</v>
      </c>
      <c r="B373" s="49" t="s">
        <v>141</v>
      </c>
      <c r="C373" s="48">
        <v>46023</v>
      </c>
      <c r="D373" s="48">
        <v>46752</v>
      </c>
      <c r="E373" s="44" t="s">
        <v>5</v>
      </c>
      <c r="F373" s="47" t="s">
        <v>40</v>
      </c>
      <c r="G373" s="13">
        <f>SUM(G374:G376)</f>
        <v>0</v>
      </c>
      <c r="H373" s="13">
        <f t="shared" ref="H373:J373" si="135">SUM(H374:H376)</f>
        <v>0</v>
      </c>
      <c r="I373" s="13">
        <f t="shared" ref="I373" si="136">SUM(I374:I376)</f>
        <v>2678691.17</v>
      </c>
      <c r="J373" s="13">
        <f t="shared" si="135"/>
        <v>457000</v>
      </c>
      <c r="K373" s="49" t="s">
        <v>29</v>
      </c>
    </row>
    <row r="374" spans="1:11" ht="48" customHeight="1" x14ac:dyDescent="0.25">
      <c r="A374" s="49"/>
      <c r="B374" s="49"/>
      <c r="C374" s="48"/>
      <c r="D374" s="48"/>
      <c r="E374" s="44" t="s">
        <v>7</v>
      </c>
      <c r="F374" s="47" t="s">
        <v>8</v>
      </c>
      <c r="G374" s="13">
        <v>0</v>
      </c>
      <c r="H374" s="13">
        <v>0</v>
      </c>
      <c r="I374" s="13">
        <v>0</v>
      </c>
      <c r="J374" s="13">
        <v>0</v>
      </c>
      <c r="K374" s="49"/>
    </row>
    <row r="375" spans="1:11" ht="48" customHeight="1" x14ac:dyDescent="0.25">
      <c r="A375" s="49"/>
      <c r="B375" s="49"/>
      <c r="C375" s="48"/>
      <c r="D375" s="48"/>
      <c r="E375" s="44" t="s">
        <v>9</v>
      </c>
      <c r="F375" s="47" t="s">
        <v>8</v>
      </c>
      <c r="G375" s="13">
        <v>0</v>
      </c>
      <c r="H375" s="6">
        <v>0</v>
      </c>
      <c r="I375" s="6">
        <v>2513951.66</v>
      </c>
      <c r="J375" s="6">
        <v>428894.5</v>
      </c>
      <c r="K375" s="49"/>
    </row>
    <row r="376" spans="1:11" ht="48" customHeight="1" x14ac:dyDescent="0.25">
      <c r="A376" s="49"/>
      <c r="B376" s="49"/>
      <c r="C376" s="48"/>
      <c r="D376" s="48"/>
      <c r="E376" s="44" t="s">
        <v>10</v>
      </c>
      <c r="F376" s="47" t="s">
        <v>8</v>
      </c>
      <c r="G376" s="13">
        <v>0</v>
      </c>
      <c r="H376" s="6">
        <v>0</v>
      </c>
      <c r="I376" s="6">
        <v>164739.51</v>
      </c>
      <c r="J376" s="6">
        <v>28105.5</v>
      </c>
      <c r="K376" s="49"/>
    </row>
    <row r="377" spans="1:11" ht="48" customHeight="1" x14ac:dyDescent="0.25">
      <c r="A377" s="49" t="s">
        <v>297</v>
      </c>
      <c r="B377" s="49" t="s">
        <v>298</v>
      </c>
      <c r="C377" s="48">
        <v>45658</v>
      </c>
      <c r="D377" s="48">
        <v>46752</v>
      </c>
      <c r="E377" s="44" t="s">
        <v>5</v>
      </c>
      <c r="F377" s="47" t="s">
        <v>40</v>
      </c>
      <c r="G377" s="13">
        <f>SUM(G378:G380)</f>
        <v>0</v>
      </c>
      <c r="H377" s="13">
        <f t="shared" ref="H377:J377" si="137">SUM(H378:H380)</f>
        <v>1237073.52</v>
      </c>
      <c r="I377" s="13">
        <f t="shared" si="137"/>
        <v>0</v>
      </c>
      <c r="J377" s="13">
        <f t="shared" si="137"/>
        <v>457000</v>
      </c>
      <c r="K377" s="49" t="s">
        <v>29</v>
      </c>
    </row>
    <row r="378" spans="1:11" ht="48" customHeight="1" x14ac:dyDescent="0.25">
      <c r="A378" s="49"/>
      <c r="B378" s="49"/>
      <c r="C378" s="48"/>
      <c r="D378" s="48"/>
      <c r="E378" s="44" t="s">
        <v>7</v>
      </c>
      <c r="F378" s="47" t="s">
        <v>8</v>
      </c>
      <c r="G378" s="13">
        <v>0</v>
      </c>
      <c r="H378" s="13">
        <v>0</v>
      </c>
      <c r="I378" s="13">
        <v>0</v>
      </c>
      <c r="J378" s="13">
        <v>0</v>
      </c>
      <c r="K378" s="49"/>
    </row>
    <row r="379" spans="1:11" ht="48" customHeight="1" x14ac:dyDescent="0.25">
      <c r="A379" s="49"/>
      <c r="B379" s="49"/>
      <c r="C379" s="48"/>
      <c r="D379" s="48"/>
      <c r="E379" s="44" t="s">
        <v>9</v>
      </c>
      <c r="F379" s="47" t="s">
        <v>8</v>
      </c>
      <c r="G379" s="13">
        <v>0</v>
      </c>
      <c r="H379" s="6">
        <v>1160993.5</v>
      </c>
      <c r="I379" s="6">
        <v>0</v>
      </c>
      <c r="J379" s="6">
        <v>428894.5</v>
      </c>
      <c r="K379" s="49"/>
    </row>
    <row r="380" spans="1:11" ht="48" customHeight="1" x14ac:dyDescent="0.25">
      <c r="A380" s="49"/>
      <c r="B380" s="49"/>
      <c r="C380" s="48"/>
      <c r="D380" s="48"/>
      <c r="E380" s="44" t="s">
        <v>10</v>
      </c>
      <c r="F380" s="47" t="s">
        <v>8</v>
      </c>
      <c r="G380" s="13">
        <v>0</v>
      </c>
      <c r="H380" s="6">
        <v>76080.02</v>
      </c>
      <c r="I380" s="6">
        <v>0</v>
      </c>
      <c r="J380" s="6">
        <v>28105.5</v>
      </c>
      <c r="K380" s="49"/>
    </row>
    <row r="381" spans="1:11" ht="48" customHeight="1" x14ac:dyDescent="0.25">
      <c r="A381" s="49" t="s">
        <v>299</v>
      </c>
      <c r="B381" s="49" t="s">
        <v>142</v>
      </c>
      <c r="C381" s="48">
        <v>45658</v>
      </c>
      <c r="D381" s="48">
        <v>46022</v>
      </c>
      <c r="E381" s="44" t="s">
        <v>5</v>
      </c>
      <c r="F381" s="47" t="s">
        <v>40</v>
      </c>
      <c r="G381" s="13">
        <f>SUM(G382:G384)</f>
        <v>0</v>
      </c>
      <c r="H381" s="13">
        <f t="shared" ref="H381" si="138">SUM(H382:H384)</f>
        <v>100000</v>
      </c>
      <c r="I381" s="13">
        <f>SUM(I382:I384)</f>
        <v>0</v>
      </c>
      <c r="J381" s="13">
        <f>SUM(J382:J384)</f>
        <v>0</v>
      </c>
      <c r="K381" s="49" t="s">
        <v>29</v>
      </c>
    </row>
    <row r="382" spans="1:11" ht="48" customHeight="1" x14ac:dyDescent="0.25">
      <c r="A382" s="49"/>
      <c r="B382" s="49"/>
      <c r="C382" s="48"/>
      <c r="D382" s="48"/>
      <c r="E382" s="44" t="s">
        <v>7</v>
      </c>
      <c r="F382" s="47" t="s">
        <v>8</v>
      </c>
      <c r="G382" s="13">
        <v>0</v>
      </c>
      <c r="H382" s="13">
        <v>0</v>
      </c>
      <c r="I382" s="13">
        <v>0</v>
      </c>
      <c r="J382" s="13">
        <v>0</v>
      </c>
      <c r="K382" s="49"/>
    </row>
    <row r="383" spans="1:11" ht="48" customHeight="1" x14ac:dyDescent="0.25">
      <c r="A383" s="49"/>
      <c r="B383" s="49"/>
      <c r="C383" s="48"/>
      <c r="D383" s="48"/>
      <c r="E383" s="44" t="s">
        <v>9</v>
      </c>
      <c r="F383" s="47" t="s">
        <v>8</v>
      </c>
      <c r="G383" s="13">
        <v>0</v>
      </c>
      <c r="H383" s="6">
        <v>93850</v>
      </c>
      <c r="I383" s="13">
        <v>0</v>
      </c>
      <c r="J383" s="13">
        <v>0</v>
      </c>
      <c r="K383" s="49"/>
    </row>
    <row r="384" spans="1:11" ht="48" customHeight="1" x14ac:dyDescent="0.25">
      <c r="A384" s="49"/>
      <c r="B384" s="49"/>
      <c r="C384" s="48"/>
      <c r="D384" s="48"/>
      <c r="E384" s="44" t="s">
        <v>10</v>
      </c>
      <c r="F384" s="47" t="s">
        <v>8</v>
      </c>
      <c r="G384" s="13">
        <v>0</v>
      </c>
      <c r="H384" s="6">
        <v>6150</v>
      </c>
      <c r="I384" s="13">
        <v>0</v>
      </c>
      <c r="J384" s="13">
        <v>0</v>
      </c>
      <c r="K384" s="49"/>
    </row>
    <row r="385" spans="1:11" ht="48" customHeight="1" x14ac:dyDescent="0.25">
      <c r="A385" s="49" t="s">
        <v>360</v>
      </c>
      <c r="B385" s="49" t="s">
        <v>154</v>
      </c>
      <c r="C385" s="48">
        <v>45658</v>
      </c>
      <c r="D385" s="48">
        <v>46022</v>
      </c>
      <c r="E385" s="44" t="s">
        <v>5</v>
      </c>
      <c r="F385" s="47" t="s">
        <v>40</v>
      </c>
      <c r="G385" s="13">
        <f>SUM(G386:G388)</f>
        <v>0</v>
      </c>
      <c r="H385" s="13">
        <f t="shared" ref="H385:J385" si="139">SUM(H386:H388)</f>
        <v>831186.74</v>
      </c>
      <c r="I385" s="13">
        <f t="shared" si="139"/>
        <v>0</v>
      </c>
      <c r="J385" s="13">
        <f t="shared" si="139"/>
        <v>0</v>
      </c>
      <c r="K385" s="49" t="s">
        <v>29</v>
      </c>
    </row>
    <row r="386" spans="1:11" ht="48" customHeight="1" x14ac:dyDescent="0.25">
      <c r="A386" s="49"/>
      <c r="B386" s="49"/>
      <c r="C386" s="48"/>
      <c r="D386" s="48"/>
      <c r="E386" s="44" t="s">
        <v>7</v>
      </c>
      <c r="F386" s="47" t="s">
        <v>8</v>
      </c>
      <c r="G386" s="13">
        <v>0</v>
      </c>
      <c r="H386" s="13">
        <v>0</v>
      </c>
      <c r="I386" s="13">
        <v>0</v>
      </c>
      <c r="J386" s="13">
        <v>0</v>
      </c>
      <c r="K386" s="49"/>
    </row>
    <row r="387" spans="1:11" ht="48" customHeight="1" x14ac:dyDescent="0.25">
      <c r="A387" s="49"/>
      <c r="B387" s="49"/>
      <c r="C387" s="48"/>
      <c r="D387" s="48"/>
      <c r="E387" s="44" t="s">
        <v>9</v>
      </c>
      <c r="F387" s="47" t="s">
        <v>8</v>
      </c>
      <c r="G387" s="13">
        <v>0</v>
      </c>
      <c r="H387" s="13">
        <v>780068.75</v>
      </c>
      <c r="I387" s="13">
        <v>0</v>
      </c>
      <c r="J387" s="6">
        <v>0</v>
      </c>
      <c r="K387" s="49"/>
    </row>
    <row r="388" spans="1:11" ht="48" customHeight="1" x14ac:dyDescent="0.25">
      <c r="A388" s="49"/>
      <c r="B388" s="49"/>
      <c r="C388" s="48"/>
      <c r="D388" s="48"/>
      <c r="E388" s="44" t="s">
        <v>10</v>
      </c>
      <c r="F388" s="47" t="s">
        <v>8</v>
      </c>
      <c r="G388" s="13">
        <v>0</v>
      </c>
      <c r="H388" s="13">
        <v>51117.99</v>
      </c>
      <c r="I388" s="13">
        <v>0</v>
      </c>
      <c r="J388" s="6">
        <v>0</v>
      </c>
      <c r="K388" s="49"/>
    </row>
    <row r="389" spans="1:11" ht="48" customHeight="1" x14ac:dyDescent="0.25">
      <c r="A389" s="49" t="s">
        <v>207</v>
      </c>
      <c r="B389" s="49" t="s">
        <v>139</v>
      </c>
      <c r="C389" s="48">
        <v>45292</v>
      </c>
      <c r="D389" s="48">
        <v>45657</v>
      </c>
      <c r="E389" s="44" t="s">
        <v>5</v>
      </c>
      <c r="F389" s="47" t="s">
        <v>208</v>
      </c>
      <c r="G389" s="13">
        <f>SUM(G390:G392)</f>
        <v>127347.99</v>
      </c>
      <c r="H389" s="13">
        <f t="shared" ref="H389:J389" si="140">SUM(H390:H392)</f>
        <v>0</v>
      </c>
      <c r="I389" s="13">
        <f t="shared" ref="I389" si="141">SUM(I390:I392)</f>
        <v>0</v>
      </c>
      <c r="J389" s="13">
        <f t="shared" si="140"/>
        <v>0</v>
      </c>
      <c r="K389" s="49" t="s">
        <v>29</v>
      </c>
    </row>
    <row r="390" spans="1:11" ht="48" customHeight="1" x14ac:dyDescent="0.25">
      <c r="A390" s="49"/>
      <c r="B390" s="49"/>
      <c r="C390" s="48"/>
      <c r="D390" s="48"/>
      <c r="E390" s="44" t="s">
        <v>7</v>
      </c>
      <c r="F390" s="47" t="s">
        <v>8</v>
      </c>
      <c r="G390" s="13">
        <v>0</v>
      </c>
      <c r="H390" s="13">
        <v>0</v>
      </c>
      <c r="I390" s="13">
        <v>0</v>
      </c>
      <c r="J390" s="13">
        <v>0</v>
      </c>
      <c r="K390" s="49"/>
    </row>
    <row r="391" spans="1:11" ht="48" customHeight="1" x14ac:dyDescent="0.25">
      <c r="A391" s="49"/>
      <c r="B391" s="49"/>
      <c r="C391" s="48"/>
      <c r="D391" s="48"/>
      <c r="E391" s="44" t="s">
        <v>9</v>
      </c>
      <c r="F391" s="47" t="s">
        <v>8</v>
      </c>
      <c r="G391" s="6">
        <v>120000</v>
      </c>
      <c r="H391" s="13">
        <v>0</v>
      </c>
      <c r="I391" s="13">
        <v>0</v>
      </c>
      <c r="J391" s="6">
        <v>0</v>
      </c>
      <c r="K391" s="49"/>
    </row>
    <row r="392" spans="1:11" ht="48" customHeight="1" x14ac:dyDescent="0.25">
      <c r="A392" s="49"/>
      <c r="B392" s="49"/>
      <c r="C392" s="48"/>
      <c r="D392" s="48"/>
      <c r="E392" s="44" t="s">
        <v>10</v>
      </c>
      <c r="F392" s="47" t="s">
        <v>8</v>
      </c>
      <c r="G392" s="6">
        <v>7347.99</v>
      </c>
      <c r="H392" s="13">
        <v>0</v>
      </c>
      <c r="I392" s="13">
        <v>0</v>
      </c>
      <c r="J392" s="6">
        <v>0</v>
      </c>
      <c r="K392" s="49"/>
    </row>
    <row r="393" spans="1:11" ht="48" customHeight="1" x14ac:dyDescent="0.25">
      <c r="A393" s="49" t="s">
        <v>209</v>
      </c>
      <c r="B393" s="49" t="s">
        <v>210</v>
      </c>
      <c r="C393" s="48">
        <v>45292</v>
      </c>
      <c r="D393" s="48">
        <v>45657</v>
      </c>
      <c r="E393" s="44" t="s">
        <v>5</v>
      </c>
      <c r="F393" s="47" t="s">
        <v>208</v>
      </c>
      <c r="G393" s="13">
        <f>SUM(G394:G396)</f>
        <v>31836.99</v>
      </c>
      <c r="H393" s="13">
        <f t="shared" ref="H393:J393" si="142">SUM(H394:H396)</f>
        <v>0</v>
      </c>
      <c r="I393" s="13">
        <f t="shared" si="142"/>
        <v>0</v>
      </c>
      <c r="J393" s="13">
        <f t="shared" si="142"/>
        <v>0</v>
      </c>
      <c r="K393" s="49" t="s">
        <v>29</v>
      </c>
    </row>
    <row r="394" spans="1:11" ht="48" customHeight="1" x14ac:dyDescent="0.25">
      <c r="A394" s="49"/>
      <c r="B394" s="49"/>
      <c r="C394" s="48"/>
      <c r="D394" s="48"/>
      <c r="E394" s="44" t="s">
        <v>7</v>
      </c>
      <c r="F394" s="47" t="s">
        <v>8</v>
      </c>
      <c r="G394" s="13">
        <v>0</v>
      </c>
      <c r="H394" s="13">
        <v>0</v>
      </c>
      <c r="I394" s="13">
        <v>0</v>
      </c>
      <c r="J394" s="13">
        <v>0</v>
      </c>
      <c r="K394" s="49"/>
    </row>
    <row r="395" spans="1:11" ht="48" customHeight="1" x14ac:dyDescent="0.25">
      <c r="A395" s="49"/>
      <c r="B395" s="49"/>
      <c r="C395" s="48"/>
      <c r="D395" s="48"/>
      <c r="E395" s="44" t="s">
        <v>9</v>
      </c>
      <c r="F395" s="47" t="s">
        <v>8</v>
      </c>
      <c r="G395" s="6">
        <v>30000</v>
      </c>
      <c r="H395" s="13">
        <v>0</v>
      </c>
      <c r="I395" s="13">
        <v>0</v>
      </c>
      <c r="J395" s="6">
        <v>0</v>
      </c>
      <c r="K395" s="49"/>
    </row>
    <row r="396" spans="1:11" ht="48" customHeight="1" x14ac:dyDescent="0.25">
      <c r="A396" s="49"/>
      <c r="B396" s="49"/>
      <c r="C396" s="48"/>
      <c r="D396" s="48"/>
      <c r="E396" s="44" t="s">
        <v>10</v>
      </c>
      <c r="F396" s="47" t="s">
        <v>8</v>
      </c>
      <c r="G396" s="6">
        <v>1836.99</v>
      </c>
      <c r="H396" s="13">
        <v>0</v>
      </c>
      <c r="I396" s="13">
        <v>0</v>
      </c>
      <c r="J396" s="6">
        <v>0</v>
      </c>
      <c r="K396" s="49"/>
    </row>
    <row r="397" spans="1:11" ht="48" customHeight="1" x14ac:dyDescent="0.25">
      <c r="A397" s="49" t="s">
        <v>211</v>
      </c>
      <c r="B397" s="49" t="s">
        <v>212</v>
      </c>
      <c r="C397" s="48">
        <v>45292</v>
      </c>
      <c r="D397" s="48">
        <v>45657</v>
      </c>
      <c r="E397" s="44" t="s">
        <v>5</v>
      </c>
      <c r="F397" s="47" t="s">
        <v>208</v>
      </c>
      <c r="G397" s="13">
        <f>SUM(G398:G400)</f>
        <v>95510.98</v>
      </c>
      <c r="H397" s="13">
        <f t="shared" ref="H397:J397" si="143">SUM(H398:H400)</f>
        <v>0</v>
      </c>
      <c r="I397" s="13">
        <f t="shared" si="143"/>
        <v>0</v>
      </c>
      <c r="J397" s="13">
        <f t="shared" si="143"/>
        <v>0</v>
      </c>
      <c r="K397" s="49" t="s">
        <v>29</v>
      </c>
    </row>
    <row r="398" spans="1:11" ht="48" customHeight="1" x14ac:dyDescent="0.25">
      <c r="A398" s="49"/>
      <c r="B398" s="49"/>
      <c r="C398" s="48"/>
      <c r="D398" s="48"/>
      <c r="E398" s="44" t="s">
        <v>7</v>
      </c>
      <c r="F398" s="47" t="s">
        <v>8</v>
      </c>
      <c r="G398" s="13">
        <v>0</v>
      </c>
      <c r="H398" s="13">
        <v>0</v>
      </c>
      <c r="I398" s="13">
        <v>0</v>
      </c>
      <c r="J398" s="13">
        <v>0</v>
      </c>
      <c r="K398" s="49"/>
    </row>
    <row r="399" spans="1:11" ht="48" customHeight="1" x14ac:dyDescent="0.25">
      <c r="A399" s="49"/>
      <c r="B399" s="49"/>
      <c r="C399" s="48"/>
      <c r="D399" s="48"/>
      <c r="E399" s="44" t="s">
        <v>9</v>
      </c>
      <c r="F399" s="47" t="s">
        <v>8</v>
      </c>
      <c r="G399" s="6">
        <v>90000</v>
      </c>
      <c r="H399" s="13">
        <v>0</v>
      </c>
      <c r="I399" s="13">
        <v>0</v>
      </c>
      <c r="J399" s="6">
        <v>0</v>
      </c>
      <c r="K399" s="49"/>
    </row>
    <row r="400" spans="1:11" ht="48" customHeight="1" x14ac:dyDescent="0.25">
      <c r="A400" s="49"/>
      <c r="B400" s="49"/>
      <c r="C400" s="48"/>
      <c r="D400" s="48"/>
      <c r="E400" s="44" t="s">
        <v>10</v>
      </c>
      <c r="F400" s="47" t="s">
        <v>8</v>
      </c>
      <c r="G400" s="6">
        <v>5510.98</v>
      </c>
      <c r="H400" s="13">
        <v>0</v>
      </c>
      <c r="I400" s="13">
        <v>0</v>
      </c>
      <c r="J400" s="6">
        <v>0</v>
      </c>
      <c r="K400" s="49"/>
    </row>
    <row r="401" spans="1:11" ht="48" customHeight="1" x14ac:dyDescent="0.25">
      <c r="A401" s="49" t="s">
        <v>213</v>
      </c>
      <c r="B401" s="49" t="s">
        <v>192</v>
      </c>
      <c r="C401" s="48">
        <v>45292</v>
      </c>
      <c r="D401" s="48">
        <v>45657</v>
      </c>
      <c r="E401" s="44" t="s">
        <v>5</v>
      </c>
      <c r="F401" s="47" t="s">
        <v>208</v>
      </c>
      <c r="G401" s="13">
        <f>SUM(G402:G404)</f>
        <v>95510.98</v>
      </c>
      <c r="H401" s="13">
        <f t="shared" ref="H401:J401" si="144">SUM(H402:H404)</f>
        <v>0</v>
      </c>
      <c r="I401" s="13">
        <f t="shared" si="144"/>
        <v>0</v>
      </c>
      <c r="J401" s="13">
        <f t="shared" si="144"/>
        <v>0</v>
      </c>
      <c r="K401" s="49" t="s">
        <v>29</v>
      </c>
    </row>
    <row r="402" spans="1:11" ht="48" customHeight="1" x14ac:dyDescent="0.25">
      <c r="A402" s="49"/>
      <c r="B402" s="49"/>
      <c r="C402" s="48"/>
      <c r="D402" s="48"/>
      <c r="E402" s="44" t="s">
        <v>7</v>
      </c>
      <c r="F402" s="47" t="s">
        <v>8</v>
      </c>
      <c r="G402" s="13">
        <v>0</v>
      </c>
      <c r="H402" s="13">
        <v>0</v>
      </c>
      <c r="I402" s="13">
        <v>0</v>
      </c>
      <c r="J402" s="13">
        <v>0</v>
      </c>
      <c r="K402" s="49"/>
    </row>
    <row r="403" spans="1:11" ht="48" customHeight="1" x14ac:dyDescent="0.25">
      <c r="A403" s="49"/>
      <c r="B403" s="49"/>
      <c r="C403" s="48"/>
      <c r="D403" s="48"/>
      <c r="E403" s="44" t="s">
        <v>9</v>
      </c>
      <c r="F403" s="47" t="s">
        <v>8</v>
      </c>
      <c r="G403" s="6">
        <v>90000</v>
      </c>
      <c r="H403" s="13">
        <v>0</v>
      </c>
      <c r="I403" s="13">
        <v>0</v>
      </c>
      <c r="J403" s="6">
        <v>0</v>
      </c>
      <c r="K403" s="49"/>
    </row>
    <row r="404" spans="1:11" ht="48" customHeight="1" x14ac:dyDescent="0.25">
      <c r="A404" s="49"/>
      <c r="B404" s="49"/>
      <c r="C404" s="48"/>
      <c r="D404" s="48"/>
      <c r="E404" s="44" t="s">
        <v>10</v>
      </c>
      <c r="F404" s="47" t="s">
        <v>8</v>
      </c>
      <c r="G404" s="6">
        <v>5510.98</v>
      </c>
      <c r="H404" s="13">
        <v>0</v>
      </c>
      <c r="I404" s="13">
        <v>0</v>
      </c>
      <c r="J404" s="6">
        <v>0</v>
      </c>
      <c r="K404" s="49"/>
    </row>
    <row r="405" spans="1:11" ht="48" customHeight="1" x14ac:dyDescent="0.25">
      <c r="A405" s="49" t="s">
        <v>214</v>
      </c>
      <c r="B405" s="49" t="s">
        <v>215</v>
      </c>
      <c r="C405" s="48">
        <v>45292</v>
      </c>
      <c r="D405" s="48">
        <v>45657</v>
      </c>
      <c r="E405" s="44" t="s">
        <v>5</v>
      </c>
      <c r="F405" s="47" t="s">
        <v>208</v>
      </c>
      <c r="G405" s="13">
        <f>SUM(G406:G408)</f>
        <v>95510.98</v>
      </c>
      <c r="H405" s="13">
        <f t="shared" ref="H405:J405" si="145">SUM(H406:H408)</f>
        <v>0</v>
      </c>
      <c r="I405" s="13">
        <f t="shared" si="145"/>
        <v>0</v>
      </c>
      <c r="J405" s="13">
        <f t="shared" si="145"/>
        <v>0</v>
      </c>
      <c r="K405" s="49" t="s">
        <v>29</v>
      </c>
    </row>
    <row r="406" spans="1:11" ht="48" customHeight="1" x14ac:dyDescent="0.25">
      <c r="A406" s="49"/>
      <c r="B406" s="49"/>
      <c r="C406" s="48"/>
      <c r="D406" s="48"/>
      <c r="E406" s="44" t="s">
        <v>7</v>
      </c>
      <c r="F406" s="47" t="s">
        <v>8</v>
      </c>
      <c r="G406" s="13">
        <v>0</v>
      </c>
      <c r="H406" s="13">
        <v>0</v>
      </c>
      <c r="I406" s="13">
        <v>0</v>
      </c>
      <c r="J406" s="13">
        <v>0</v>
      </c>
      <c r="K406" s="49"/>
    </row>
    <row r="407" spans="1:11" ht="48" customHeight="1" x14ac:dyDescent="0.25">
      <c r="A407" s="49"/>
      <c r="B407" s="49"/>
      <c r="C407" s="48"/>
      <c r="D407" s="48"/>
      <c r="E407" s="44" t="s">
        <v>9</v>
      </c>
      <c r="F407" s="47" t="s">
        <v>8</v>
      </c>
      <c r="G407" s="6">
        <v>90000</v>
      </c>
      <c r="H407" s="13">
        <v>0</v>
      </c>
      <c r="I407" s="13">
        <v>0</v>
      </c>
      <c r="J407" s="6">
        <v>0</v>
      </c>
      <c r="K407" s="49"/>
    </row>
    <row r="408" spans="1:11" ht="48" customHeight="1" x14ac:dyDescent="0.25">
      <c r="A408" s="49"/>
      <c r="B408" s="49"/>
      <c r="C408" s="48"/>
      <c r="D408" s="48"/>
      <c r="E408" s="44" t="s">
        <v>10</v>
      </c>
      <c r="F408" s="47" t="s">
        <v>8</v>
      </c>
      <c r="G408" s="6">
        <v>5510.98</v>
      </c>
      <c r="H408" s="13">
        <v>0</v>
      </c>
      <c r="I408" s="13">
        <v>0</v>
      </c>
      <c r="J408" s="6">
        <v>0</v>
      </c>
      <c r="K408" s="49"/>
    </row>
    <row r="409" spans="1:11" ht="48" customHeight="1" x14ac:dyDescent="0.25">
      <c r="A409" s="49" t="s">
        <v>216</v>
      </c>
      <c r="B409" s="49" t="s">
        <v>217</v>
      </c>
      <c r="C409" s="48">
        <v>45292</v>
      </c>
      <c r="D409" s="48">
        <v>45657</v>
      </c>
      <c r="E409" s="44" t="s">
        <v>5</v>
      </c>
      <c r="F409" s="47" t="s">
        <v>208</v>
      </c>
      <c r="G409" s="13">
        <f>SUM(G410:G412)</f>
        <v>74286.320000000007</v>
      </c>
      <c r="H409" s="13">
        <f t="shared" ref="H409:J409" si="146">SUM(H410:H412)</f>
        <v>0</v>
      </c>
      <c r="I409" s="13">
        <f t="shared" si="146"/>
        <v>0</v>
      </c>
      <c r="J409" s="13">
        <f t="shared" si="146"/>
        <v>0</v>
      </c>
      <c r="K409" s="49" t="s">
        <v>29</v>
      </c>
    </row>
    <row r="410" spans="1:11" ht="48" customHeight="1" x14ac:dyDescent="0.25">
      <c r="A410" s="49"/>
      <c r="B410" s="49"/>
      <c r="C410" s="48"/>
      <c r="D410" s="48"/>
      <c r="E410" s="44" t="s">
        <v>7</v>
      </c>
      <c r="F410" s="47" t="s">
        <v>8</v>
      </c>
      <c r="G410" s="13">
        <v>0</v>
      </c>
      <c r="H410" s="13">
        <v>0</v>
      </c>
      <c r="I410" s="13">
        <v>0</v>
      </c>
      <c r="J410" s="13">
        <v>0</v>
      </c>
      <c r="K410" s="49"/>
    </row>
    <row r="411" spans="1:11" ht="48" customHeight="1" x14ac:dyDescent="0.25">
      <c r="A411" s="49"/>
      <c r="B411" s="49"/>
      <c r="C411" s="48"/>
      <c r="D411" s="48"/>
      <c r="E411" s="44" t="s">
        <v>9</v>
      </c>
      <c r="F411" s="47" t="s">
        <v>8</v>
      </c>
      <c r="G411" s="6">
        <v>70000</v>
      </c>
      <c r="H411" s="13">
        <v>0</v>
      </c>
      <c r="I411" s="13">
        <v>0</v>
      </c>
      <c r="J411" s="6">
        <v>0</v>
      </c>
      <c r="K411" s="49"/>
    </row>
    <row r="412" spans="1:11" ht="48" customHeight="1" x14ac:dyDescent="0.25">
      <c r="A412" s="49"/>
      <c r="B412" s="49"/>
      <c r="C412" s="48"/>
      <c r="D412" s="48"/>
      <c r="E412" s="44" t="s">
        <v>10</v>
      </c>
      <c r="F412" s="47" t="s">
        <v>8</v>
      </c>
      <c r="G412" s="6">
        <v>4286.32</v>
      </c>
      <c r="H412" s="13">
        <v>0</v>
      </c>
      <c r="I412" s="13">
        <v>0</v>
      </c>
      <c r="J412" s="6">
        <v>0</v>
      </c>
      <c r="K412" s="49"/>
    </row>
    <row r="413" spans="1:11" ht="48" customHeight="1" x14ac:dyDescent="0.25">
      <c r="A413" s="49" t="s">
        <v>218</v>
      </c>
      <c r="B413" s="49" t="s">
        <v>98</v>
      </c>
      <c r="C413" s="48">
        <v>45292</v>
      </c>
      <c r="D413" s="48">
        <v>45657</v>
      </c>
      <c r="E413" s="44" t="s">
        <v>5</v>
      </c>
      <c r="F413" s="47" t="s">
        <v>208</v>
      </c>
      <c r="G413" s="13">
        <f>SUM(G414:G416)</f>
        <v>21224.66</v>
      </c>
      <c r="H413" s="13">
        <f t="shared" ref="H413:J413" si="147">SUM(H414:H416)</f>
        <v>0</v>
      </c>
      <c r="I413" s="13">
        <f t="shared" si="147"/>
        <v>0</v>
      </c>
      <c r="J413" s="13">
        <f t="shared" si="147"/>
        <v>0</v>
      </c>
      <c r="K413" s="49" t="s">
        <v>29</v>
      </c>
    </row>
    <row r="414" spans="1:11" ht="48" customHeight="1" x14ac:dyDescent="0.25">
      <c r="A414" s="49"/>
      <c r="B414" s="49"/>
      <c r="C414" s="48"/>
      <c r="D414" s="48"/>
      <c r="E414" s="44" t="s">
        <v>7</v>
      </c>
      <c r="F414" s="47" t="s">
        <v>8</v>
      </c>
      <c r="G414" s="13">
        <v>0</v>
      </c>
      <c r="H414" s="13">
        <v>0</v>
      </c>
      <c r="I414" s="13">
        <v>0</v>
      </c>
      <c r="J414" s="13">
        <v>0</v>
      </c>
      <c r="K414" s="49"/>
    </row>
    <row r="415" spans="1:11" ht="48" customHeight="1" x14ac:dyDescent="0.25">
      <c r="A415" s="49"/>
      <c r="B415" s="49"/>
      <c r="C415" s="48"/>
      <c r="D415" s="48"/>
      <c r="E415" s="44" t="s">
        <v>9</v>
      </c>
      <c r="F415" s="47" t="s">
        <v>8</v>
      </c>
      <c r="G415" s="6">
        <v>20000</v>
      </c>
      <c r="H415" s="13">
        <v>0</v>
      </c>
      <c r="I415" s="13">
        <v>0</v>
      </c>
      <c r="J415" s="6">
        <v>0</v>
      </c>
      <c r="K415" s="49"/>
    </row>
    <row r="416" spans="1:11" ht="48" customHeight="1" x14ac:dyDescent="0.25">
      <c r="A416" s="49"/>
      <c r="B416" s="49"/>
      <c r="C416" s="48"/>
      <c r="D416" s="48"/>
      <c r="E416" s="44" t="s">
        <v>10</v>
      </c>
      <c r="F416" s="47" t="s">
        <v>8</v>
      </c>
      <c r="G416" s="6">
        <v>1224.6600000000001</v>
      </c>
      <c r="H416" s="13">
        <v>0</v>
      </c>
      <c r="I416" s="13">
        <v>0</v>
      </c>
      <c r="J416" s="6">
        <v>0</v>
      </c>
      <c r="K416" s="49"/>
    </row>
    <row r="417" spans="1:11" ht="48" customHeight="1" x14ac:dyDescent="0.25">
      <c r="A417" s="49" t="s">
        <v>219</v>
      </c>
      <c r="B417" s="49" t="s">
        <v>220</v>
      </c>
      <c r="C417" s="48">
        <v>45292</v>
      </c>
      <c r="D417" s="48">
        <v>45657</v>
      </c>
      <c r="E417" s="44" t="s">
        <v>5</v>
      </c>
      <c r="F417" s="47" t="s">
        <v>208</v>
      </c>
      <c r="G417" s="13">
        <f>SUM(G418:G420)</f>
        <v>19102.2</v>
      </c>
      <c r="H417" s="13">
        <f t="shared" ref="H417:J417" si="148">SUM(H418:H420)</f>
        <v>0</v>
      </c>
      <c r="I417" s="13">
        <f t="shared" si="148"/>
        <v>0</v>
      </c>
      <c r="J417" s="13">
        <f t="shared" si="148"/>
        <v>0</v>
      </c>
      <c r="K417" s="49" t="s">
        <v>29</v>
      </c>
    </row>
    <row r="418" spans="1:11" ht="48" customHeight="1" x14ac:dyDescent="0.25">
      <c r="A418" s="49"/>
      <c r="B418" s="49"/>
      <c r="C418" s="48"/>
      <c r="D418" s="48"/>
      <c r="E418" s="44" t="s">
        <v>7</v>
      </c>
      <c r="F418" s="47" t="s">
        <v>8</v>
      </c>
      <c r="G418" s="13">
        <v>0</v>
      </c>
      <c r="H418" s="13">
        <v>0</v>
      </c>
      <c r="I418" s="13">
        <v>0</v>
      </c>
      <c r="J418" s="13">
        <v>0</v>
      </c>
      <c r="K418" s="49"/>
    </row>
    <row r="419" spans="1:11" ht="48" customHeight="1" x14ac:dyDescent="0.25">
      <c r="A419" s="49"/>
      <c r="B419" s="49"/>
      <c r="C419" s="48"/>
      <c r="D419" s="48"/>
      <c r="E419" s="44" t="s">
        <v>9</v>
      </c>
      <c r="F419" s="47" t="s">
        <v>8</v>
      </c>
      <c r="G419" s="6">
        <v>18000</v>
      </c>
      <c r="H419" s="13">
        <v>0</v>
      </c>
      <c r="I419" s="13">
        <v>0</v>
      </c>
      <c r="J419" s="6">
        <v>0</v>
      </c>
      <c r="K419" s="49"/>
    </row>
    <row r="420" spans="1:11" ht="48" customHeight="1" x14ac:dyDescent="0.25">
      <c r="A420" s="49"/>
      <c r="B420" s="49"/>
      <c r="C420" s="48"/>
      <c r="D420" s="48"/>
      <c r="E420" s="44" t="s">
        <v>10</v>
      </c>
      <c r="F420" s="47" t="s">
        <v>8</v>
      </c>
      <c r="G420" s="6">
        <v>1102.2</v>
      </c>
      <c r="H420" s="13">
        <v>0</v>
      </c>
      <c r="I420" s="13">
        <v>0</v>
      </c>
      <c r="J420" s="6">
        <v>0</v>
      </c>
      <c r="K420" s="49"/>
    </row>
    <row r="421" spans="1:11" ht="45.75" customHeight="1" x14ac:dyDescent="0.25">
      <c r="A421" s="49" t="s">
        <v>357</v>
      </c>
      <c r="B421" s="49" t="s">
        <v>358</v>
      </c>
      <c r="C421" s="48">
        <v>45658</v>
      </c>
      <c r="D421" s="48">
        <v>46022</v>
      </c>
      <c r="E421" s="44" t="s">
        <v>5</v>
      </c>
      <c r="F421" s="47" t="s">
        <v>208</v>
      </c>
      <c r="G421" s="2">
        <f>SUM(G422:G424)</f>
        <v>0</v>
      </c>
      <c r="H421" s="2">
        <f t="shared" ref="H421:J421" si="149">SUM(H422:H424)</f>
        <v>5164184.4700000007</v>
      </c>
      <c r="I421" s="2">
        <f t="shared" si="149"/>
        <v>0</v>
      </c>
      <c r="J421" s="2">
        <f t="shared" si="149"/>
        <v>0</v>
      </c>
      <c r="K421" s="49" t="s">
        <v>29</v>
      </c>
    </row>
    <row r="422" spans="1:11" ht="45.75" customHeight="1" x14ac:dyDescent="0.25">
      <c r="A422" s="49"/>
      <c r="B422" s="49"/>
      <c r="C422" s="48"/>
      <c r="D422" s="48"/>
      <c r="E422" s="44" t="s">
        <v>7</v>
      </c>
      <c r="F422" s="47" t="s">
        <v>8</v>
      </c>
      <c r="G422" s="2">
        <v>0</v>
      </c>
      <c r="H422" s="2">
        <v>0</v>
      </c>
      <c r="I422" s="2">
        <v>0</v>
      </c>
      <c r="J422" s="2">
        <v>0</v>
      </c>
      <c r="K422" s="49"/>
    </row>
    <row r="423" spans="1:11" ht="45.75" customHeight="1" x14ac:dyDescent="0.25">
      <c r="A423" s="49"/>
      <c r="B423" s="49"/>
      <c r="C423" s="48"/>
      <c r="D423" s="48"/>
      <c r="E423" s="44" t="s">
        <v>9</v>
      </c>
      <c r="F423" s="47" t="s">
        <v>8</v>
      </c>
      <c r="G423" s="2">
        <v>0</v>
      </c>
      <c r="H423" s="2">
        <v>4846587.1500000004</v>
      </c>
      <c r="I423" s="2">
        <v>0</v>
      </c>
      <c r="J423" s="2">
        <v>0</v>
      </c>
      <c r="K423" s="49"/>
    </row>
    <row r="424" spans="1:11" ht="45.75" customHeight="1" x14ac:dyDescent="0.25">
      <c r="A424" s="49"/>
      <c r="B424" s="49"/>
      <c r="C424" s="48"/>
      <c r="D424" s="48"/>
      <c r="E424" s="44" t="s">
        <v>10</v>
      </c>
      <c r="F424" s="47" t="s">
        <v>8</v>
      </c>
      <c r="G424" s="2">
        <v>0</v>
      </c>
      <c r="H424" s="2">
        <v>317597.32</v>
      </c>
      <c r="I424" s="2">
        <v>0</v>
      </c>
      <c r="J424" s="2">
        <v>0</v>
      </c>
      <c r="K424" s="49"/>
    </row>
    <row r="425" spans="1:11" ht="24.75" customHeight="1" x14ac:dyDescent="0.25">
      <c r="A425" s="49" t="s">
        <v>41</v>
      </c>
      <c r="B425" s="50" t="s">
        <v>4</v>
      </c>
      <c r="C425" s="48">
        <v>45292</v>
      </c>
      <c r="D425" s="48">
        <v>46752</v>
      </c>
      <c r="E425" s="44" t="s">
        <v>5</v>
      </c>
      <c r="F425" s="47" t="s">
        <v>42</v>
      </c>
      <c r="G425" s="13">
        <f>SUM(G426:G428)</f>
        <v>615658.74999999988</v>
      </c>
      <c r="H425" s="13">
        <f>SUM(H426:H428)</f>
        <v>2204650.08</v>
      </c>
      <c r="I425" s="13">
        <f>SUM(I426:I428)</f>
        <v>1435200</v>
      </c>
      <c r="J425" s="13">
        <f t="shared" ref="J425" si="150">SUM(J426:J428)</f>
        <v>1492608</v>
      </c>
      <c r="K425" s="49" t="s">
        <v>84</v>
      </c>
    </row>
    <row r="426" spans="1:11" ht="24.75" customHeight="1" x14ac:dyDescent="0.25">
      <c r="A426" s="49"/>
      <c r="B426" s="50"/>
      <c r="C426" s="48"/>
      <c r="D426" s="48"/>
      <c r="E426" s="44" t="s">
        <v>7</v>
      </c>
      <c r="F426" s="47" t="s">
        <v>8</v>
      </c>
      <c r="G426" s="13">
        <v>0</v>
      </c>
      <c r="H426" s="13">
        <v>0</v>
      </c>
      <c r="I426" s="13">
        <v>0</v>
      </c>
      <c r="J426" s="13">
        <v>0</v>
      </c>
      <c r="K426" s="49"/>
    </row>
    <row r="427" spans="1:11" ht="24.75" customHeight="1" x14ac:dyDescent="0.25">
      <c r="A427" s="49"/>
      <c r="B427" s="50"/>
      <c r="C427" s="48"/>
      <c r="D427" s="48"/>
      <c r="E427" s="44" t="s">
        <v>9</v>
      </c>
      <c r="F427" s="47" t="s">
        <v>8</v>
      </c>
      <c r="G427" s="13">
        <v>0</v>
      </c>
      <c r="H427" s="13">
        <v>0</v>
      </c>
      <c r="I427" s="13">
        <v>0</v>
      </c>
      <c r="J427" s="13">
        <v>0</v>
      </c>
      <c r="K427" s="49"/>
    </row>
    <row r="428" spans="1:11" ht="24.75" customHeight="1" x14ac:dyDescent="0.25">
      <c r="A428" s="49"/>
      <c r="B428" s="50"/>
      <c r="C428" s="48"/>
      <c r="D428" s="48"/>
      <c r="E428" s="44" t="s">
        <v>10</v>
      </c>
      <c r="F428" s="47" t="s">
        <v>8</v>
      </c>
      <c r="G428" s="13">
        <f>1700000-62000-177854.06-21319.27-13398.58-15478.4-578-20641.79-30000-292642.49-43608.26-6820.4-400000</f>
        <v>615658.74999999988</v>
      </c>
      <c r="H428" s="13">
        <f>1380000+890273.2-65623.12</f>
        <v>2204650.08</v>
      </c>
      <c r="I428" s="13">
        <v>1435200</v>
      </c>
      <c r="J428" s="13">
        <v>1492608</v>
      </c>
      <c r="K428" s="49"/>
    </row>
    <row r="429" spans="1:11" ht="66" customHeight="1" x14ac:dyDescent="0.25">
      <c r="A429" s="49" t="s">
        <v>151</v>
      </c>
      <c r="B429" s="50" t="s">
        <v>4</v>
      </c>
      <c r="C429" s="48">
        <v>45292</v>
      </c>
      <c r="D429" s="48">
        <v>46752</v>
      </c>
      <c r="E429" s="44" t="s">
        <v>5</v>
      </c>
      <c r="F429" s="47" t="s">
        <v>100</v>
      </c>
      <c r="G429" s="13">
        <f>SUM(G430:G432)</f>
        <v>970341.25</v>
      </c>
      <c r="H429" s="13">
        <f t="shared" ref="H429:J429" si="151">SUM(H430:H432)</f>
        <v>3302949.92</v>
      </c>
      <c r="I429" s="13">
        <f t="shared" ref="I429" si="152">SUM(I430:I432)</f>
        <v>2548000</v>
      </c>
      <c r="J429" s="13">
        <f t="shared" si="151"/>
        <v>2649920</v>
      </c>
      <c r="K429" s="49" t="s">
        <v>152</v>
      </c>
    </row>
    <row r="430" spans="1:11" ht="66" customHeight="1" x14ac:dyDescent="0.25">
      <c r="A430" s="49"/>
      <c r="B430" s="50"/>
      <c r="C430" s="48"/>
      <c r="D430" s="48"/>
      <c r="E430" s="44" t="s">
        <v>7</v>
      </c>
      <c r="F430" s="47" t="s">
        <v>8</v>
      </c>
      <c r="G430" s="13">
        <v>0</v>
      </c>
      <c r="H430" s="13">
        <v>0</v>
      </c>
      <c r="I430" s="13">
        <v>0</v>
      </c>
      <c r="J430" s="13">
        <v>0</v>
      </c>
      <c r="K430" s="49"/>
    </row>
    <row r="431" spans="1:11" ht="66" customHeight="1" x14ac:dyDescent="0.25">
      <c r="A431" s="49"/>
      <c r="B431" s="50"/>
      <c r="C431" s="48"/>
      <c r="D431" s="48"/>
      <c r="E431" s="44" t="s">
        <v>9</v>
      </c>
      <c r="F431" s="47" t="s">
        <v>8</v>
      </c>
      <c r="G431" s="13">
        <v>0</v>
      </c>
      <c r="H431" s="13">
        <v>0</v>
      </c>
      <c r="I431" s="13">
        <v>0</v>
      </c>
      <c r="J431" s="13">
        <v>0</v>
      </c>
      <c r="K431" s="49"/>
    </row>
    <row r="432" spans="1:11" ht="66" customHeight="1" x14ac:dyDescent="0.25">
      <c r="A432" s="49"/>
      <c r="B432" s="50"/>
      <c r="C432" s="48"/>
      <c r="D432" s="48"/>
      <c r="E432" s="44" t="s">
        <v>10</v>
      </c>
      <c r="F432" s="47" t="s">
        <v>8</v>
      </c>
      <c r="G432" s="13">
        <f>500000+62000+177854.06+21319.27+13398.58+15478.4+578+20641.79+30000+292642.49+43608.26+6820.4-214000</f>
        <v>970341.25</v>
      </c>
      <c r="H432" s="13">
        <f>2450000+787326.8+65623.12</f>
        <v>3302949.92</v>
      </c>
      <c r="I432" s="13">
        <v>2548000</v>
      </c>
      <c r="J432" s="13">
        <v>2649920</v>
      </c>
      <c r="K432" s="49"/>
    </row>
    <row r="433" spans="1:11" ht="22.5" customHeight="1" x14ac:dyDescent="0.25">
      <c r="A433" s="49" t="s">
        <v>335</v>
      </c>
      <c r="B433" s="50" t="s">
        <v>4</v>
      </c>
      <c r="C433" s="48">
        <v>45658</v>
      </c>
      <c r="D433" s="48">
        <v>46022</v>
      </c>
      <c r="E433" s="44" t="s">
        <v>5</v>
      </c>
      <c r="F433" s="47" t="s">
        <v>337</v>
      </c>
      <c r="G433" s="13">
        <f>SUM(G434:G436)</f>
        <v>0</v>
      </c>
      <c r="H433" s="13">
        <f>SUM(H434:H436)</f>
        <v>7381050</v>
      </c>
      <c r="I433" s="13">
        <f>SUM(I434:I436)</f>
        <v>0</v>
      </c>
      <c r="J433" s="13">
        <f t="shared" ref="J433" si="153">SUM(J434:J436)</f>
        <v>0</v>
      </c>
      <c r="K433" s="49" t="s">
        <v>84</v>
      </c>
    </row>
    <row r="434" spans="1:11" ht="24" customHeight="1" x14ac:dyDescent="0.25">
      <c r="A434" s="49"/>
      <c r="B434" s="50"/>
      <c r="C434" s="48"/>
      <c r="D434" s="48"/>
      <c r="E434" s="44" t="s">
        <v>7</v>
      </c>
      <c r="F434" s="47" t="s">
        <v>8</v>
      </c>
      <c r="G434" s="13">
        <v>0</v>
      </c>
      <c r="H434" s="13">
        <v>0</v>
      </c>
      <c r="I434" s="13">
        <v>0</v>
      </c>
      <c r="J434" s="13">
        <v>0</v>
      </c>
      <c r="K434" s="49"/>
    </row>
    <row r="435" spans="1:11" ht="21.75" customHeight="1" x14ac:dyDescent="0.25">
      <c r="A435" s="49"/>
      <c r="B435" s="50"/>
      <c r="C435" s="48"/>
      <c r="D435" s="48"/>
      <c r="E435" s="44" t="s">
        <v>9</v>
      </c>
      <c r="F435" s="47" t="s">
        <v>8</v>
      </c>
      <c r="G435" s="13">
        <v>0</v>
      </c>
      <c r="H435" s="13">
        <v>0</v>
      </c>
      <c r="I435" s="13">
        <v>0</v>
      </c>
      <c r="J435" s="13">
        <v>0</v>
      </c>
      <c r="K435" s="49"/>
    </row>
    <row r="436" spans="1:11" ht="21.75" customHeight="1" x14ac:dyDescent="0.25">
      <c r="A436" s="49"/>
      <c r="B436" s="50"/>
      <c r="C436" s="48"/>
      <c r="D436" s="48"/>
      <c r="E436" s="44" t="s">
        <v>10</v>
      </c>
      <c r="F436" s="47" t="s">
        <v>8</v>
      </c>
      <c r="G436" s="13">
        <v>0</v>
      </c>
      <c r="H436" s="13">
        <v>7381050</v>
      </c>
      <c r="I436" s="13">
        <v>0</v>
      </c>
      <c r="J436" s="13">
        <v>0</v>
      </c>
      <c r="K436" s="49"/>
    </row>
    <row r="437" spans="1:11" ht="22.5" customHeight="1" x14ac:dyDescent="0.25">
      <c r="A437" s="49" t="s">
        <v>336</v>
      </c>
      <c r="B437" s="50" t="s">
        <v>4</v>
      </c>
      <c r="C437" s="48">
        <v>45658</v>
      </c>
      <c r="D437" s="48">
        <v>46022</v>
      </c>
      <c r="E437" s="44" t="s">
        <v>5</v>
      </c>
      <c r="F437" s="47" t="s">
        <v>338</v>
      </c>
      <c r="G437" s="13">
        <f>SUM(G438:G440)</f>
        <v>0</v>
      </c>
      <c r="H437" s="13">
        <f>SUM(H438:H440)</f>
        <v>3199350</v>
      </c>
      <c r="I437" s="13">
        <f>SUM(I438:I440)</f>
        <v>0</v>
      </c>
      <c r="J437" s="13">
        <f t="shared" ref="J437" si="154">SUM(J438:J440)</f>
        <v>0</v>
      </c>
      <c r="K437" s="49" t="s">
        <v>84</v>
      </c>
    </row>
    <row r="438" spans="1:11" ht="24.75" customHeight="1" x14ac:dyDescent="0.25">
      <c r="A438" s="49"/>
      <c r="B438" s="50"/>
      <c r="C438" s="48"/>
      <c r="D438" s="48"/>
      <c r="E438" s="44" t="s">
        <v>7</v>
      </c>
      <c r="F438" s="47" t="s">
        <v>8</v>
      </c>
      <c r="G438" s="13">
        <v>0</v>
      </c>
      <c r="H438" s="13">
        <v>0</v>
      </c>
      <c r="I438" s="13">
        <v>0</v>
      </c>
      <c r="J438" s="13">
        <v>0</v>
      </c>
      <c r="K438" s="49"/>
    </row>
    <row r="439" spans="1:11" ht="24.75" customHeight="1" x14ac:dyDescent="0.25">
      <c r="A439" s="49"/>
      <c r="B439" s="50"/>
      <c r="C439" s="48"/>
      <c r="D439" s="48"/>
      <c r="E439" s="44" t="s">
        <v>9</v>
      </c>
      <c r="F439" s="47" t="s">
        <v>8</v>
      </c>
      <c r="G439" s="13">
        <v>0</v>
      </c>
      <c r="H439" s="13">
        <v>0</v>
      </c>
      <c r="I439" s="13">
        <v>0</v>
      </c>
      <c r="J439" s="13">
        <v>0</v>
      </c>
      <c r="K439" s="49"/>
    </row>
    <row r="440" spans="1:11" ht="20.25" customHeight="1" x14ac:dyDescent="0.25">
      <c r="A440" s="49"/>
      <c r="B440" s="50"/>
      <c r="C440" s="48"/>
      <c r="D440" s="48"/>
      <c r="E440" s="44" t="s">
        <v>10</v>
      </c>
      <c r="F440" s="47" t="s">
        <v>8</v>
      </c>
      <c r="G440" s="13">
        <v>0</v>
      </c>
      <c r="H440" s="13">
        <v>3199350</v>
      </c>
      <c r="I440" s="13">
        <v>0</v>
      </c>
      <c r="J440" s="13">
        <v>0</v>
      </c>
      <c r="K440" s="49"/>
    </row>
    <row r="441" spans="1:11" ht="30.75" customHeight="1" x14ac:dyDescent="0.25">
      <c r="A441" s="50" t="s">
        <v>43</v>
      </c>
      <c r="B441" s="50" t="s">
        <v>4</v>
      </c>
      <c r="C441" s="48">
        <v>45292</v>
      </c>
      <c r="D441" s="48">
        <v>45657</v>
      </c>
      <c r="E441" s="44" t="s">
        <v>5</v>
      </c>
      <c r="F441" s="47" t="s">
        <v>144</v>
      </c>
      <c r="G441" s="13">
        <f>SUM(G442:G444)</f>
        <v>38362800</v>
      </c>
      <c r="H441" s="13">
        <f t="shared" ref="H441:J441" si="155">SUM(H442:H444)</f>
        <v>0</v>
      </c>
      <c r="I441" s="13">
        <f t="shared" si="155"/>
        <v>0</v>
      </c>
      <c r="J441" s="13">
        <f t="shared" si="155"/>
        <v>0</v>
      </c>
      <c r="K441" s="49" t="s">
        <v>85</v>
      </c>
    </row>
    <row r="442" spans="1:11" ht="30.75" customHeight="1" x14ac:dyDescent="0.25">
      <c r="A442" s="50"/>
      <c r="B442" s="50"/>
      <c r="C442" s="48"/>
      <c r="D442" s="48"/>
      <c r="E442" s="44" t="s">
        <v>7</v>
      </c>
      <c r="F442" s="47" t="s">
        <v>8</v>
      </c>
      <c r="G442" s="13">
        <f>23064800+15298000</f>
        <v>38362800</v>
      </c>
      <c r="H442" s="13">
        <v>0</v>
      </c>
      <c r="I442" s="13">
        <v>0</v>
      </c>
      <c r="J442" s="13">
        <v>0</v>
      </c>
      <c r="K442" s="49"/>
    </row>
    <row r="443" spans="1:11" ht="30.75" customHeight="1" x14ac:dyDescent="0.25">
      <c r="A443" s="50"/>
      <c r="B443" s="50"/>
      <c r="C443" s="48"/>
      <c r="D443" s="48"/>
      <c r="E443" s="44" t="s">
        <v>9</v>
      </c>
      <c r="F443" s="47" t="s">
        <v>8</v>
      </c>
      <c r="G443" s="13">
        <v>0</v>
      </c>
      <c r="H443" s="13">
        <v>0</v>
      </c>
      <c r="I443" s="13">
        <v>0</v>
      </c>
      <c r="J443" s="13">
        <v>0</v>
      </c>
      <c r="K443" s="49"/>
    </row>
    <row r="444" spans="1:11" ht="30.75" customHeight="1" x14ac:dyDescent="0.25">
      <c r="A444" s="50"/>
      <c r="B444" s="50"/>
      <c r="C444" s="48"/>
      <c r="D444" s="48"/>
      <c r="E444" s="44" t="s">
        <v>10</v>
      </c>
      <c r="F444" s="47" t="s">
        <v>8</v>
      </c>
      <c r="G444" s="13">
        <v>0</v>
      </c>
      <c r="H444" s="13">
        <v>0</v>
      </c>
      <c r="I444" s="13">
        <v>0</v>
      </c>
      <c r="J444" s="13">
        <v>0</v>
      </c>
      <c r="K444" s="49"/>
    </row>
    <row r="445" spans="1:11" ht="30.75" customHeight="1" x14ac:dyDescent="0.25">
      <c r="A445" s="49" t="s">
        <v>193</v>
      </c>
      <c r="B445" s="50" t="s">
        <v>192</v>
      </c>
      <c r="C445" s="48">
        <v>45292</v>
      </c>
      <c r="D445" s="48">
        <v>45657</v>
      </c>
      <c r="E445" s="44" t="s">
        <v>5</v>
      </c>
      <c r="F445" s="47" t="s">
        <v>198</v>
      </c>
      <c r="G445" s="2">
        <f>SUM(G446:G448)</f>
        <v>1100000</v>
      </c>
      <c r="H445" s="2">
        <f t="shared" ref="H445:J445" si="156">SUM(H446:H448)</f>
        <v>0</v>
      </c>
      <c r="I445" s="2">
        <f t="shared" ref="I445" si="157">SUM(I446:I448)</f>
        <v>0</v>
      </c>
      <c r="J445" s="2">
        <f t="shared" si="156"/>
        <v>0</v>
      </c>
      <c r="K445" s="49" t="s">
        <v>181</v>
      </c>
    </row>
    <row r="446" spans="1:11" ht="30.75" customHeight="1" x14ac:dyDescent="0.25">
      <c r="A446" s="49"/>
      <c r="B446" s="50"/>
      <c r="C446" s="48"/>
      <c r="D446" s="48"/>
      <c r="E446" s="44" t="s">
        <v>7</v>
      </c>
      <c r="F446" s="47" t="s">
        <v>8</v>
      </c>
      <c r="G446" s="2">
        <v>0</v>
      </c>
      <c r="H446" s="2">
        <v>0</v>
      </c>
      <c r="I446" s="2">
        <v>0</v>
      </c>
      <c r="J446" s="2">
        <v>0</v>
      </c>
      <c r="K446" s="49"/>
    </row>
    <row r="447" spans="1:11" ht="30.75" customHeight="1" x14ac:dyDescent="0.25">
      <c r="A447" s="49"/>
      <c r="B447" s="50"/>
      <c r="C447" s="48"/>
      <c r="D447" s="48"/>
      <c r="E447" s="44" t="s">
        <v>9</v>
      </c>
      <c r="F447" s="47" t="s">
        <v>8</v>
      </c>
      <c r="G447" s="2">
        <v>1100000</v>
      </c>
      <c r="H447" s="2">
        <v>0</v>
      </c>
      <c r="I447" s="2">
        <v>0</v>
      </c>
      <c r="J447" s="2">
        <v>0</v>
      </c>
      <c r="K447" s="49"/>
    </row>
    <row r="448" spans="1:11" ht="30.75" customHeight="1" x14ac:dyDescent="0.25">
      <c r="A448" s="49"/>
      <c r="B448" s="50"/>
      <c r="C448" s="48"/>
      <c r="D448" s="48"/>
      <c r="E448" s="44" t="s">
        <v>10</v>
      </c>
      <c r="F448" s="47" t="s">
        <v>8</v>
      </c>
      <c r="G448" s="2">
        <v>0</v>
      </c>
      <c r="H448" s="2">
        <v>0</v>
      </c>
      <c r="I448" s="2">
        <v>0</v>
      </c>
      <c r="J448" s="2">
        <v>0</v>
      </c>
      <c r="K448" s="49"/>
    </row>
    <row r="449" spans="1:12" ht="30.75" customHeight="1" x14ac:dyDescent="0.25">
      <c r="A449" s="49" t="s">
        <v>195</v>
      </c>
      <c r="B449" s="50" t="s">
        <v>194</v>
      </c>
      <c r="C449" s="48">
        <v>45292</v>
      </c>
      <c r="D449" s="48">
        <v>45657</v>
      </c>
      <c r="E449" s="44" t="s">
        <v>5</v>
      </c>
      <c r="F449" s="47" t="s">
        <v>198</v>
      </c>
      <c r="G449" s="2">
        <f>SUM(G450:G452)</f>
        <v>1100000</v>
      </c>
      <c r="H449" s="2">
        <f t="shared" ref="H449:J449" si="158">SUM(H450:H452)</f>
        <v>0</v>
      </c>
      <c r="I449" s="2">
        <f t="shared" ref="I449" si="159">SUM(I450:I452)</f>
        <v>0</v>
      </c>
      <c r="J449" s="2">
        <f t="shared" si="158"/>
        <v>0</v>
      </c>
      <c r="K449" s="49" t="s">
        <v>181</v>
      </c>
    </row>
    <row r="450" spans="1:12" ht="30.75" customHeight="1" x14ac:dyDescent="0.25">
      <c r="A450" s="49"/>
      <c r="B450" s="50"/>
      <c r="C450" s="48"/>
      <c r="D450" s="48"/>
      <c r="E450" s="44" t="s">
        <v>7</v>
      </c>
      <c r="F450" s="47" t="s">
        <v>8</v>
      </c>
      <c r="G450" s="2">
        <v>0</v>
      </c>
      <c r="H450" s="2">
        <v>0</v>
      </c>
      <c r="I450" s="2">
        <f t="shared" ref="I450" si="160">SUM(I451:I453)</f>
        <v>0</v>
      </c>
      <c r="J450" s="2">
        <v>0</v>
      </c>
      <c r="K450" s="49"/>
    </row>
    <row r="451" spans="1:12" ht="30.75" customHeight="1" x14ac:dyDescent="0.25">
      <c r="A451" s="49"/>
      <c r="B451" s="50"/>
      <c r="C451" s="48"/>
      <c r="D451" s="48"/>
      <c r="E451" s="44" t="s">
        <v>9</v>
      </c>
      <c r="F451" s="47" t="s">
        <v>8</v>
      </c>
      <c r="G451" s="2">
        <v>1100000</v>
      </c>
      <c r="H451" s="2">
        <v>0</v>
      </c>
      <c r="I451" s="2">
        <v>0</v>
      </c>
      <c r="J451" s="2">
        <v>0</v>
      </c>
      <c r="K451" s="49"/>
    </row>
    <row r="452" spans="1:12" ht="30.75" customHeight="1" x14ac:dyDescent="0.25">
      <c r="A452" s="49"/>
      <c r="B452" s="50"/>
      <c r="C452" s="48"/>
      <c r="D452" s="48"/>
      <c r="E452" s="44" t="s">
        <v>10</v>
      </c>
      <c r="F452" s="47" t="s">
        <v>8</v>
      </c>
      <c r="G452" s="2">
        <v>0</v>
      </c>
      <c r="H452" s="2">
        <v>0</v>
      </c>
      <c r="I452" s="2">
        <v>0</v>
      </c>
      <c r="J452" s="2">
        <v>0</v>
      </c>
      <c r="K452" s="49"/>
    </row>
    <row r="453" spans="1:12" ht="30.75" customHeight="1" x14ac:dyDescent="0.25">
      <c r="A453" s="49" t="s">
        <v>196</v>
      </c>
      <c r="B453" s="50" t="s">
        <v>197</v>
      </c>
      <c r="C453" s="48">
        <v>45292</v>
      </c>
      <c r="D453" s="48">
        <v>45657</v>
      </c>
      <c r="E453" s="44" t="s">
        <v>5</v>
      </c>
      <c r="F453" s="47" t="s">
        <v>198</v>
      </c>
      <c r="G453" s="2">
        <f>SUM(G454:G456)</f>
        <v>1100000</v>
      </c>
      <c r="H453" s="2">
        <f t="shared" ref="H453:J453" si="161">SUM(H454:H456)</f>
        <v>0</v>
      </c>
      <c r="I453" s="2">
        <v>0</v>
      </c>
      <c r="J453" s="2">
        <f t="shared" si="161"/>
        <v>0</v>
      </c>
      <c r="K453" s="49" t="s">
        <v>181</v>
      </c>
    </row>
    <row r="454" spans="1:12" ht="30.75" customHeight="1" x14ac:dyDescent="0.25">
      <c r="A454" s="49"/>
      <c r="B454" s="50"/>
      <c r="C454" s="48"/>
      <c r="D454" s="48"/>
      <c r="E454" s="44" t="s">
        <v>7</v>
      </c>
      <c r="F454" s="47" t="s">
        <v>8</v>
      </c>
      <c r="G454" s="2">
        <v>0</v>
      </c>
      <c r="H454" s="2">
        <v>0</v>
      </c>
      <c r="I454" s="2">
        <v>0</v>
      </c>
      <c r="J454" s="2">
        <v>0</v>
      </c>
      <c r="K454" s="49"/>
    </row>
    <row r="455" spans="1:12" ht="30.75" customHeight="1" x14ac:dyDescent="0.25">
      <c r="A455" s="49"/>
      <c r="B455" s="50"/>
      <c r="C455" s="48"/>
      <c r="D455" s="48"/>
      <c r="E455" s="44" t="s">
        <v>9</v>
      </c>
      <c r="F455" s="47" t="s">
        <v>8</v>
      </c>
      <c r="G455" s="2">
        <v>1100000</v>
      </c>
      <c r="H455" s="2">
        <v>0</v>
      </c>
      <c r="I455" s="2">
        <v>0</v>
      </c>
      <c r="J455" s="2">
        <v>0</v>
      </c>
      <c r="K455" s="49"/>
    </row>
    <row r="456" spans="1:12" ht="30.75" customHeight="1" x14ac:dyDescent="0.25">
      <c r="A456" s="49"/>
      <c r="B456" s="50"/>
      <c r="C456" s="48"/>
      <c r="D456" s="48"/>
      <c r="E456" s="44" t="s">
        <v>10</v>
      </c>
      <c r="F456" s="47" t="s">
        <v>8</v>
      </c>
      <c r="G456" s="2">
        <v>0</v>
      </c>
      <c r="H456" s="2">
        <v>0</v>
      </c>
      <c r="I456" s="2">
        <v>0</v>
      </c>
      <c r="J456" s="2">
        <v>0</v>
      </c>
      <c r="K456" s="49"/>
    </row>
    <row r="457" spans="1:12" ht="24" customHeight="1" x14ac:dyDescent="0.25">
      <c r="A457" s="49" t="s">
        <v>30</v>
      </c>
      <c r="B457" s="49" t="s">
        <v>4</v>
      </c>
      <c r="C457" s="48">
        <v>45292</v>
      </c>
      <c r="D457" s="48">
        <v>46752</v>
      </c>
      <c r="E457" s="44" t="s">
        <v>5</v>
      </c>
      <c r="F457" s="47" t="s">
        <v>44</v>
      </c>
      <c r="G457" s="13">
        <f>SUM(G458:G460)</f>
        <v>498001</v>
      </c>
      <c r="H457" s="13">
        <f t="shared" ref="H457:I457" si="162">SUM(H458:H460)</f>
        <v>556605</v>
      </c>
      <c r="I457" s="13">
        <f t="shared" si="162"/>
        <v>431613</v>
      </c>
      <c r="J457" s="13">
        <f t="shared" ref="J457" si="163">SUM(J458:J460)</f>
        <v>220736</v>
      </c>
      <c r="K457" s="49" t="s">
        <v>32</v>
      </c>
    </row>
    <row r="458" spans="1:12" ht="24" customHeight="1" x14ac:dyDescent="0.25">
      <c r="A458" s="49"/>
      <c r="B458" s="49"/>
      <c r="C458" s="48"/>
      <c r="D458" s="48"/>
      <c r="E458" s="44" t="s">
        <v>7</v>
      </c>
      <c r="F458" s="47" t="s">
        <v>8</v>
      </c>
      <c r="G458" s="13">
        <v>0</v>
      </c>
      <c r="H458" s="13">
        <v>0</v>
      </c>
      <c r="I458" s="13">
        <v>0</v>
      </c>
      <c r="J458" s="13">
        <v>0</v>
      </c>
      <c r="K458" s="49"/>
    </row>
    <row r="459" spans="1:12" ht="24" customHeight="1" x14ac:dyDescent="0.25">
      <c r="A459" s="49"/>
      <c r="B459" s="49"/>
      <c r="C459" s="48"/>
      <c r="D459" s="48"/>
      <c r="E459" s="44" t="s">
        <v>9</v>
      </c>
      <c r="F459" s="47" t="s">
        <v>8</v>
      </c>
      <c r="G459" s="13">
        <v>0</v>
      </c>
      <c r="H459" s="13">
        <v>0</v>
      </c>
      <c r="I459" s="13">
        <v>0</v>
      </c>
      <c r="J459" s="13">
        <v>0</v>
      </c>
      <c r="K459" s="49"/>
      <c r="L459" s="5"/>
    </row>
    <row r="460" spans="1:12" ht="24" customHeight="1" x14ac:dyDescent="0.25">
      <c r="A460" s="49"/>
      <c r="B460" s="49"/>
      <c r="C460" s="48"/>
      <c r="D460" s="48"/>
      <c r="E460" s="44" t="s">
        <v>10</v>
      </c>
      <c r="F460" s="47" t="s">
        <v>8</v>
      </c>
      <c r="G460" s="13">
        <f>394506+29295+74200</f>
        <v>498001</v>
      </c>
      <c r="H460" s="13">
        <v>556605</v>
      </c>
      <c r="I460" s="13">
        <v>431613</v>
      </c>
      <c r="J460" s="13">
        <v>220736</v>
      </c>
      <c r="K460" s="49"/>
    </row>
    <row r="461" spans="1:12" ht="29.25" customHeight="1" x14ac:dyDescent="0.25">
      <c r="A461" s="49" t="s">
        <v>45</v>
      </c>
      <c r="B461" s="49" t="s">
        <v>4</v>
      </c>
      <c r="C461" s="48">
        <v>45292</v>
      </c>
      <c r="D461" s="48">
        <v>46387</v>
      </c>
      <c r="E461" s="44" t="s">
        <v>5</v>
      </c>
      <c r="F461" s="47" t="s">
        <v>46</v>
      </c>
      <c r="G461" s="13">
        <f>SUM(G462:G464)</f>
        <v>53617.960000000006</v>
      </c>
      <c r="H461" s="13">
        <f t="shared" ref="H461:I461" si="164">SUM(H462:H464)</f>
        <v>154488.78000000003</v>
      </c>
      <c r="I461" s="13">
        <f t="shared" si="164"/>
        <v>166670.17000000001</v>
      </c>
      <c r="J461" s="13">
        <f t="shared" ref="J461" si="165">SUM(J462:J464)</f>
        <v>175851.37</v>
      </c>
      <c r="K461" s="49" t="s">
        <v>86</v>
      </c>
    </row>
    <row r="462" spans="1:12" ht="29.25" customHeight="1" x14ac:dyDescent="0.25">
      <c r="A462" s="49"/>
      <c r="B462" s="49"/>
      <c r="C462" s="48"/>
      <c r="D462" s="48"/>
      <c r="E462" s="44" t="s">
        <v>7</v>
      </c>
      <c r="F462" s="47" t="s">
        <v>8</v>
      </c>
      <c r="G462" s="13">
        <v>0</v>
      </c>
      <c r="H462" s="13">
        <v>0</v>
      </c>
      <c r="I462" s="13">
        <v>0</v>
      </c>
      <c r="J462" s="13">
        <v>0</v>
      </c>
      <c r="K462" s="49"/>
    </row>
    <row r="463" spans="1:12" ht="29.25" customHeight="1" x14ac:dyDescent="0.25">
      <c r="A463" s="49"/>
      <c r="B463" s="49"/>
      <c r="C463" s="48"/>
      <c r="D463" s="48"/>
      <c r="E463" s="44" t="s">
        <v>9</v>
      </c>
      <c r="F463" s="47" t="s">
        <v>8</v>
      </c>
      <c r="G463" s="13">
        <f>94910.32-3967.7-37324.66</f>
        <v>53617.960000000006</v>
      </c>
      <c r="H463" s="13">
        <f>156919.64-2430.86</f>
        <v>154488.78000000003</v>
      </c>
      <c r="I463" s="13">
        <v>166670.17000000001</v>
      </c>
      <c r="J463" s="13">
        <v>175851.37</v>
      </c>
      <c r="K463" s="49"/>
    </row>
    <row r="464" spans="1:12" ht="29.25" customHeight="1" x14ac:dyDescent="0.25">
      <c r="A464" s="49"/>
      <c r="B464" s="49"/>
      <c r="C464" s="48"/>
      <c r="D464" s="48"/>
      <c r="E464" s="44" t="s">
        <v>10</v>
      </c>
      <c r="F464" s="47" t="s">
        <v>8</v>
      </c>
      <c r="G464" s="13">
        <v>0</v>
      </c>
      <c r="H464" s="13">
        <v>0</v>
      </c>
      <c r="I464" s="13">
        <v>0</v>
      </c>
      <c r="J464" s="13">
        <v>0</v>
      </c>
      <c r="K464" s="49"/>
    </row>
    <row r="465" spans="1:15" ht="31.5" customHeight="1" x14ac:dyDescent="0.25">
      <c r="A465" s="60" t="s">
        <v>89</v>
      </c>
      <c r="B465" s="50" t="s">
        <v>4</v>
      </c>
      <c r="C465" s="48">
        <v>45292</v>
      </c>
      <c r="D465" s="48">
        <v>46387</v>
      </c>
      <c r="E465" s="44" t="s">
        <v>5</v>
      </c>
      <c r="F465" s="47" t="s">
        <v>47</v>
      </c>
      <c r="G465" s="13">
        <f>SUM(G466:G468)</f>
        <v>8727299.1600000001</v>
      </c>
      <c r="H465" s="13">
        <f t="shared" ref="H465:I465" si="166">SUM(H466:H468)</f>
        <v>14522852.800000001</v>
      </c>
      <c r="I465" s="13">
        <f t="shared" si="166"/>
        <v>15445718</v>
      </c>
      <c r="J465" s="13">
        <f t="shared" ref="J465" si="167">SUM(J466:J468)</f>
        <v>16852336.399999999</v>
      </c>
      <c r="K465" s="49" t="s">
        <v>87</v>
      </c>
    </row>
    <row r="466" spans="1:15" ht="31.5" customHeight="1" x14ac:dyDescent="0.25">
      <c r="A466" s="60"/>
      <c r="B466" s="50"/>
      <c r="C466" s="48"/>
      <c r="D466" s="48"/>
      <c r="E466" s="44" t="s">
        <v>7</v>
      </c>
      <c r="F466" s="47" t="s">
        <v>8</v>
      </c>
      <c r="G466" s="13">
        <v>0</v>
      </c>
      <c r="H466" s="13">
        <v>0</v>
      </c>
      <c r="I466" s="13">
        <v>0</v>
      </c>
      <c r="J466" s="13">
        <v>0</v>
      </c>
      <c r="K466" s="49"/>
    </row>
    <row r="467" spans="1:15" ht="31.5" customHeight="1" x14ac:dyDescent="0.25">
      <c r="A467" s="60"/>
      <c r="B467" s="50"/>
      <c r="C467" s="48"/>
      <c r="D467" s="48"/>
      <c r="E467" s="44" t="s">
        <v>9</v>
      </c>
      <c r="F467" s="47" t="s">
        <v>8</v>
      </c>
      <c r="G467" s="13">
        <f>5560952.91+3166346.25</f>
        <v>8727299.1600000001</v>
      </c>
      <c r="H467" s="13">
        <v>14522852.800000001</v>
      </c>
      <c r="I467" s="13">
        <v>15445718</v>
      </c>
      <c r="J467" s="13">
        <v>16852336.399999999</v>
      </c>
      <c r="K467" s="49"/>
    </row>
    <row r="468" spans="1:15" ht="31.5" customHeight="1" x14ac:dyDescent="0.25">
      <c r="A468" s="60"/>
      <c r="B468" s="50"/>
      <c r="C468" s="48"/>
      <c r="D468" s="48"/>
      <c r="E468" s="44" t="s">
        <v>10</v>
      </c>
      <c r="F468" s="47" t="s">
        <v>8</v>
      </c>
      <c r="G468" s="13">
        <v>0</v>
      </c>
      <c r="H468" s="13">
        <v>0</v>
      </c>
      <c r="I468" s="13">
        <v>0</v>
      </c>
      <c r="J468" s="13">
        <v>0</v>
      </c>
      <c r="K468" s="49"/>
    </row>
    <row r="469" spans="1:15" ht="26.25" customHeight="1" x14ac:dyDescent="0.25">
      <c r="A469" s="49" t="s">
        <v>48</v>
      </c>
      <c r="B469" s="50" t="s">
        <v>4</v>
      </c>
      <c r="C469" s="48">
        <v>45292</v>
      </c>
      <c r="D469" s="48">
        <v>46387</v>
      </c>
      <c r="E469" s="44" t="s">
        <v>5</v>
      </c>
      <c r="F469" s="47" t="s">
        <v>49</v>
      </c>
      <c r="G469" s="13">
        <f>SUM(G470:G472)</f>
        <v>171854.16000000003</v>
      </c>
      <c r="H469" s="13">
        <f t="shared" ref="H469:I469" si="168">SUM(H470:H472)</f>
        <v>1171628.9500000002</v>
      </c>
      <c r="I469" s="13">
        <f t="shared" si="168"/>
        <v>975978.03</v>
      </c>
      <c r="J469" s="13">
        <f t="shared" ref="J469" si="169">SUM(J470:J472)</f>
        <v>1029746.02</v>
      </c>
      <c r="K469" s="49" t="s">
        <v>88</v>
      </c>
    </row>
    <row r="470" spans="1:15" ht="26.25" customHeight="1" x14ac:dyDescent="0.25">
      <c r="A470" s="49"/>
      <c r="B470" s="50"/>
      <c r="C470" s="48"/>
      <c r="D470" s="48"/>
      <c r="E470" s="44" t="s">
        <v>7</v>
      </c>
      <c r="F470" s="47" t="s">
        <v>8</v>
      </c>
      <c r="G470" s="13">
        <v>0</v>
      </c>
      <c r="H470" s="13">
        <v>0</v>
      </c>
      <c r="I470" s="13">
        <v>0</v>
      </c>
      <c r="J470" s="13">
        <v>0</v>
      </c>
      <c r="K470" s="49"/>
    </row>
    <row r="471" spans="1:15" ht="26.25" customHeight="1" x14ac:dyDescent="0.25">
      <c r="A471" s="49"/>
      <c r="B471" s="50"/>
      <c r="C471" s="48"/>
      <c r="D471" s="48"/>
      <c r="E471" s="44" t="s">
        <v>9</v>
      </c>
      <c r="F471" s="47" t="s">
        <v>8</v>
      </c>
      <c r="G471" s="13">
        <f>236082.5+261578.54-325806.88</f>
        <v>171854.16000000003</v>
      </c>
      <c r="H471" s="13">
        <f>918877.31+252751.64</f>
        <v>1171628.9500000002</v>
      </c>
      <c r="I471" s="13">
        <v>975978.03</v>
      </c>
      <c r="J471" s="13">
        <v>1029746.02</v>
      </c>
      <c r="K471" s="49"/>
    </row>
    <row r="472" spans="1:15" ht="26.25" customHeight="1" x14ac:dyDescent="0.25">
      <c r="A472" s="49"/>
      <c r="B472" s="50"/>
      <c r="C472" s="48"/>
      <c r="D472" s="48"/>
      <c r="E472" s="44" t="s">
        <v>10</v>
      </c>
      <c r="F472" s="47" t="s">
        <v>8</v>
      </c>
      <c r="G472" s="13">
        <v>0</v>
      </c>
      <c r="H472" s="13">
        <v>0</v>
      </c>
      <c r="I472" s="13">
        <v>0</v>
      </c>
      <c r="J472" s="13">
        <v>0</v>
      </c>
      <c r="K472" s="49"/>
    </row>
    <row r="473" spans="1:15" ht="26.25" customHeight="1" x14ac:dyDescent="0.25">
      <c r="A473" s="49" t="s">
        <v>33</v>
      </c>
      <c r="B473" s="50" t="s">
        <v>4</v>
      </c>
      <c r="C473" s="48">
        <v>45292</v>
      </c>
      <c r="D473" s="48">
        <v>46387</v>
      </c>
      <c r="E473" s="44" t="s">
        <v>5</v>
      </c>
      <c r="F473" s="47" t="s">
        <v>116</v>
      </c>
      <c r="G473" s="13">
        <f>SUM(G474:G476)</f>
        <v>13697810.4</v>
      </c>
      <c r="H473" s="13">
        <f t="shared" ref="H473:I473" si="170">SUM(H474:H476)</f>
        <v>1452599.3</v>
      </c>
      <c r="I473" s="13">
        <f t="shared" si="170"/>
        <v>1459710.2</v>
      </c>
      <c r="J473" s="13">
        <f t="shared" ref="J473" si="171">SUM(J474:J476)</f>
        <v>1488438.2</v>
      </c>
      <c r="K473" s="49" t="s">
        <v>81</v>
      </c>
    </row>
    <row r="474" spans="1:15" ht="26.25" customHeight="1" x14ac:dyDescent="0.25">
      <c r="A474" s="49"/>
      <c r="B474" s="50"/>
      <c r="C474" s="48"/>
      <c r="D474" s="48"/>
      <c r="E474" s="44" t="s">
        <v>7</v>
      </c>
      <c r="F474" s="47" t="s">
        <v>8</v>
      </c>
      <c r="G474" s="13">
        <v>0</v>
      </c>
      <c r="H474" s="13">
        <v>0</v>
      </c>
      <c r="I474" s="13">
        <v>0</v>
      </c>
      <c r="J474" s="13">
        <v>0</v>
      </c>
      <c r="K474" s="49"/>
    </row>
    <row r="475" spans="1:15" ht="26.25" customHeight="1" x14ac:dyDescent="0.25">
      <c r="A475" s="49"/>
      <c r="B475" s="50"/>
      <c r="C475" s="48"/>
      <c r="D475" s="48"/>
      <c r="E475" s="44" t="s">
        <v>9</v>
      </c>
      <c r="F475" s="47" t="s">
        <v>8</v>
      </c>
      <c r="G475" s="13">
        <f>11186900.4+2510910</f>
        <v>13697810.4</v>
      </c>
      <c r="H475" s="13">
        <v>1452599.3</v>
      </c>
      <c r="I475" s="13">
        <v>1459710.2</v>
      </c>
      <c r="J475" s="13">
        <v>1488438.2</v>
      </c>
      <c r="K475" s="49"/>
      <c r="M475" s="17"/>
      <c r="N475" s="17"/>
      <c r="O475" s="17"/>
    </row>
    <row r="476" spans="1:15" ht="26.25" customHeight="1" x14ac:dyDescent="0.25">
      <c r="A476" s="49"/>
      <c r="B476" s="50"/>
      <c r="C476" s="48"/>
      <c r="D476" s="48"/>
      <c r="E476" s="44" t="s">
        <v>10</v>
      </c>
      <c r="F476" s="47" t="s">
        <v>8</v>
      </c>
      <c r="G476" s="13">
        <v>0</v>
      </c>
      <c r="H476" s="13">
        <v>0</v>
      </c>
      <c r="I476" s="13">
        <v>0</v>
      </c>
      <c r="J476" s="13">
        <v>0</v>
      </c>
      <c r="K476" s="49"/>
      <c r="L476" s="23"/>
      <c r="M476" s="18"/>
      <c r="N476" s="18"/>
      <c r="O476" s="18"/>
    </row>
    <row r="477" spans="1:15" ht="30.75" customHeight="1" x14ac:dyDescent="0.25">
      <c r="A477" s="49" t="s">
        <v>3</v>
      </c>
      <c r="B477" s="49" t="s">
        <v>4</v>
      </c>
      <c r="C477" s="48">
        <v>45292</v>
      </c>
      <c r="D477" s="48">
        <v>45657</v>
      </c>
      <c r="E477" s="42" t="s">
        <v>5</v>
      </c>
      <c r="F477" s="47" t="s">
        <v>6</v>
      </c>
      <c r="G477" s="13">
        <f>SUM(G478:G480)</f>
        <v>30944989.469999999</v>
      </c>
      <c r="H477" s="13">
        <f>SUM(H478:H480)</f>
        <v>29604121.129999999</v>
      </c>
      <c r="I477" s="13">
        <f t="shared" ref="I477:J477" si="172">SUM(I478:I480)</f>
        <v>26884867.710000001</v>
      </c>
      <c r="J477" s="13">
        <f t="shared" si="172"/>
        <v>25594955.790000003</v>
      </c>
      <c r="K477" s="49" t="s">
        <v>319</v>
      </c>
    </row>
    <row r="478" spans="1:15" ht="30.75" customHeight="1" x14ac:dyDescent="0.25">
      <c r="A478" s="49"/>
      <c r="B478" s="49"/>
      <c r="C478" s="48"/>
      <c r="D478" s="48"/>
      <c r="E478" s="42" t="s">
        <v>7</v>
      </c>
      <c r="F478" s="47" t="s">
        <v>8</v>
      </c>
      <c r="G478" s="14">
        <v>22589842.309999999</v>
      </c>
      <c r="H478" s="14">
        <v>22202704.379999999</v>
      </c>
      <c r="I478" s="14">
        <v>20163650.780000001</v>
      </c>
      <c r="J478" s="14">
        <v>19196216.84</v>
      </c>
      <c r="K478" s="49"/>
    </row>
    <row r="479" spans="1:15" ht="30.75" customHeight="1" x14ac:dyDescent="0.25">
      <c r="A479" s="49"/>
      <c r="B479" s="49"/>
      <c r="C479" s="48"/>
      <c r="D479" s="48"/>
      <c r="E479" s="42" t="s">
        <v>9</v>
      </c>
      <c r="F479" s="47" t="s">
        <v>8</v>
      </c>
      <c r="G479" s="14">
        <v>7736247.3399999999</v>
      </c>
      <c r="H479" s="14">
        <v>6808829.3399999999</v>
      </c>
      <c r="I479" s="14">
        <v>6183519.5700000003</v>
      </c>
      <c r="J479" s="14">
        <v>5886839.8300000001</v>
      </c>
      <c r="K479" s="49"/>
    </row>
    <row r="480" spans="1:15" ht="30.75" customHeight="1" x14ac:dyDescent="0.25">
      <c r="A480" s="49"/>
      <c r="B480" s="49"/>
      <c r="C480" s="48"/>
      <c r="D480" s="48"/>
      <c r="E480" s="42" t="s">
        <v>10</v>
      </c>
      <c r="F480" s="47" t="s">
        <v>8</v>
      </c>
      <c r="G480" s="14">
        <v>618899.81999999995</v>
      </c>
      <c r="H480" s="14">
        <v>592587.41</v>
      </c>
      <c r="I480" s="14">
        <v>537697.36</v>
      </c>
      <c r="J480" s="14">
        <v>511899.12</v>
      </c>
      <c r="K480" s="49"/>
    </row>
    <row r="481" spans="1:16" ht="39.75" customHeight="1" x14ac:dyDescent="0.25">
      <c r="A481" s="49" t="s">
        <v>229</v>
      </c>
      <c r="B481" s="49" t="s">
        <v>4</v>
      </c>
      <c r="C481" s="48">
        <v>45292</v>
      </c>
      <c r="D481" s="48">
        <v>45657</v>
      </c>
      <c r="E481" s="42" t="s">
        <v>5</v>
      </c>
      <c r="F481" s="47" t="s">
        <v>231</v>
      </c>
      <c r="G481" s="13">
        <f>SUM(G482:G484)</f>
        <v>416600</v>
      </c>
      <c r="H481" s="13">
        <f>SUM(H482:H484)</f>
        <v>0</v>
      </c>
      <c r="I481" s="13">
        <f>SUM(I482:I484)</f>
        <v>0</v>
      </c>
      <c r="J481" s="13">
        <f t="shared" ref="J481" si="173">SUM(J482:J484)</f>
        <v>0</v>
      </c>
      <c r="K481" s="49" t="s">
        <v>230</v>
      </c>
      <c r="P481" s="4"/>
    </row>
    <row r="482" spans="1:16" ht="39.75" customHeight="1" x14ac:dyDescent="0.25">
      <c r="A482" s="49"/>
      <c r="B482" s="49"/>
      <c r="C482" s="48"/>
      <c r="D482" s="48"/>
      <c r="E482" s="42" t="s">
        <v>7</v>
      </c>
      <c r="F482" s="47" t="s">
        <v>8</v>
      </c>
      <c r="G482" s="14">
        <v>416600</v>
      </c>
      <c r="H482" s="14">
        <v>0</v>
      </c>
      <c r="I482" s="14">
        <v>0</v>
      </c>
      <c r="J482" s="14">
        <v>0</v>
      </c>
      <c r="K482" s="49"/>
      <c r="P482" s="4"/>
    </row>
    <row r="483" spans="1:16" ht="39.75" customHeight="1" x14ac:dyDescent="0.25">
      <c r="A483" s="49"/>
      <c r="B483" s="49"/>
      <c r="C483" s="48"/>
      <c r="D483" s="48"/>
      <c r="E483" s="42" t="s">
        <v>9</v>
      </c>
      <c r="F483" s="47" t="s">
        <v>8</v>
      </c>
      <c r="G483" s="14">
        <v>0</v>
      </c>
      <c r="H483" s="14">
        <v>0</v>
      </c>
      <c r="I483" s="14">
        <v>0</v>
      </c>
      <c r="J483" s="14">
        <v>0</v>
      </c>
      <c r="K483" s="49"/>
      <c r="P483" s="4"/>
    </row>
    <row r="484" spans="1:16" ht="39.75" customHeight="1" x14ac:dyDescent="0.25">
      <c r="A484" s="49"/>
      <c r="B484" s="49"/>
      <c r="C484" s="48"/>
      <c r="D484" s="48"/>
      <c r="E484" s="42" t="s">
        <v>10</v>
      </c>
      <c r="F484" s="47" t="s">
        <v>8</v>
      </c>
      <c r="G484" s="14">
        <v>0</v>
      </c>
      <c r="H484" s="14">
        <v>0</v>
      </c>
      <c r="I484" s="14">
        <v>0</v>
      </c>
      <c r="J484" s="14">
        <v>0</v>
      </c>
      <c r="K484" s="49"/>
      <c r="P484" s="4"/>
    </row>
    <row r="485" spans="1:16" ht="33.75" customHeight="1" x14ac:dyDescent="0.25">
      <c r="A485" s="49" t="s">
        <v>200</v>
      </c>
      <c r="B485" s="50" t="s">
        <v>4</v>
      </c>
      <c r="C485" s="48">
        <v>45292</v>
      </c>
      <c r="D485" s="48">
        <v>46752</v>
      </c>
      <c r="E485" s="44" t="s">
        <v>5</v>
      </c>
      <c r="F485" s="47" t="s">
        <v>117</v>
      </c>
      <c r="G485" s="13">
        <f>SUM(G486:G488)</f>
        <v>1155407.74</v>
      </c>
      <c r="H485" s="13">
        <f t="shared" ref="H485:J485" si="174">SUM(H486:H488)</f>
        <v>1552489.87</v>
      </c>
      <c r="I485" s="13">
        <f t="shared" ref="I485" si="175">SUM(I486:I488)</f>
        <v>1552489.87</v>
      </c>
      <c r="J485" s="13">
        <f t="shared" si="174"/>
        <v>1552489.87</v>
      </c>
      <c r="K485" s="49" t="s">
        <v>118</v>
      </c>
    </row>
    <row r="486" spans="1:16" ht="33.75" customHeight="1" x14ac:dyDescent="0.25">
      <c r="A486" s="49"/>
      <c r="B486" s="50"/>
      <c r="C486" s="48"/>
      <c r="D486" s="48"/>
      <c r="E486" s="44" t="s">
        <v>7</v>
      </c>
      <c r="F486" s="47" t="s">
        <v>8</v>
      </c>
      <c r="G486" s="13">
        <v>0</v>
      </c>
      <c r="H486" s="13">
        <v>0</v>
      </c>
      <c r="I486" s="13">
        <v>0</v>
      </c>
      <c r="J486" s="13">
        <v>0</v>
      </c>
      <c r="K486" s="49"/>
      <c r="L486" s="23"/>
      <c r="M486" s="23"/>
      <c r="N486" s="23"/>
      <c r="O486" s="23"/>
    </row>
    <row r="487" spans="1:16" ht="33.75" customHeight="1" x14ac:dyDescent="0.25">
      <c r="A487" s="49"/>
      <c r="B487" s="50"/>
      <c r="C487" s="48"/>
      <c r="D487" s="48"/>
      <c r="E487" s="44" t="s">
        <v>9</v>
      </c>
      <c r="F487" s="47" t="s">
        <v>8</v>
      </c>
      <c r="G487" s="13">
        <f>923403.4+232004.34</f>
        <v>1155407.74</v>
      </c>
      <c r="H487" s="13">
        <v>1552489.87</v>
      </c>
      <c r="I487" s="13">
        <v>1552489.87</v>
      </c>
      <c r="J487" s="13">
        <v>1552489.87</v>
      </c>
      <c r="K487" s="49"/>
      <c r="L487" s="23"/>
      <c r="M487" s="23"/>
      <c r="N487" s="23"/>
      <c r="O487" s="23"/>
    </row>
    <row r="488" spans="1:16" ht="33.75" customHeight="1" x14ac:dyDescent="0.25">
      <c r="A488" s="49"/>
      <c r="B488" s="50"/>
      <c r="C488" s="48"/>
      <c r="D488" s="48"/>
      <c r="E488" s="44" t="s">
        <v>10</v>
      </c>
      <c r="F488" s="47" t="s">
        <v>8</v>
      </c>
      <c r="G488" s="13">
        <v>0</v>
      </c>
      <c r="H488" s="13">
        <v>0</v>
      </c>
      <c r="I488" s="13">
        <v>0</v>
      </c>
      <c r="J488" s="13">
        <v>0</v>
      </c>
      <c r="K488" s="49"/>
      <c r="L488" s="23"/>
      <c r="M488" s="23"/>
      <c r="N488" s="23"/>
      <c r="O488" s="23"/>
    </row>
    <row r="489" spans="1:16" ht="23.25" customHeight="1" x14ac:dyDescent="0.25">
      <c r="A489" s="49" t="s">
        <v>201</v>
      </c>
      <c r="B489" s="50" t="s">
        <v>4</v>
      </c>
      <c r="C489" s="48">
        <v>45505</v>
      </c>
      <c r="D489" s="48">
        <v>45657</v>
      </c>
      <c r="E489" s="44" t="s">
        <v>5</v>
      </c>
      <c r="F489" s="47" t="s">
        <v>202</v>
      </c>
      <c r="G489" s="13">
        <f>SUM(G490:G492)</f>
        <v>532884</v>
      </c>
      <c r="H489" s="13">
        <f t="shared" ref="H489:J489" si="176">SUM(H490:H492)</f>
        <v>0</v>
      </c>
      <c r="I489" s="13">
        <f t="shared" ref="I489" si="177">SUM(I490:I492)</f>
        <v>0</v>
      </c>
      <c r="J489" s="13">
        <f t="shared" si="176"/>
        <v>0</v>
      </c>
      <c r="K489" s="49" t="s">
        <v>203</v>
      </c>
      <c r="L489" s="23"/>
      <c r="M489" s="23"/>
      <c r="N489" s="23"/>
      <c r="O489" s="23"/>
    </row>
    <row r="490" spans="1:16" ht="33.75" customHeight="1" x14ac:dyDescent="0.25">
      <c r="A490" s="49"/>
      <c r="B490" s="50"/>
      <c r="C490" s="48"/>
      <c r="D490" s="48"/>
      <c r="E490" s="44" t="s">
        <v>7</v>
      </c>
      <c r="F490" s="47" t="s">
        <v>8</v>
      </c>
      <c r="G490" s="13">
        <v>0</v>
      </c>
      <c r="H490" s="13">
        <v>0</v>
      </c>
      <c r="I490" s="13">
        <v>0</v>
      </c>
      <c r="J490" s="13">
        <v>0</v>
      </c>
      <c r="K490" s="49"/>
      <c r="L490" s="23"/>
      <c r="M490" s="23"/>
      <c r="N490" s="23"/>
      <c r="O490" s="23"/>
    </row>
    <row r="491" spans="1:16" ht="33.75" customHeight="1" x14ac:dyDescent="0.25">
      <c r="A491" s="49"/>
      <c r="B491" s="50"/>
      <c r="C491" s="48"/>
      <c r="D491" s="48"/>
      <c r="E491" s="44" t="s">
        <v>9</v>
      </c>
      <c r="F491" s="47" t="s">
        <v>8</v>
      </c>
      <c r="G491" s="13">
        <v>0</v>
      </c>
      <c r="H491" s="13">
        <v>0</v>
      </c>
      <c r="I491" s="13">
        <v>0</v>
      </c>
      <c r="J491" s="13">
        <v>0</v>
      </c>
      <c r="K491" s="49"/>
      <c r="L491" s="23"/>
      <c r="M491" s="23"/>
      <c r="N491" s="23"/>
      <c r="O491" s="23"/>
    </row>
    <row r="492" spans="1:16" ht="20.25" customHeight="1" x14ac:dyDescent="0.25">
      <c r="A492" s="49"/>
      <c r="B492" s="50"/>
      <c r="C492" s="48"/>
      <c r="D492" s="48"/>
      <c r="E492" s="44" t="s">
        <v>10</v>
      </c>
      <c r="F492" s="47" t="s">
        <v>8</v>
      </c>
      <c r="G492" s="13">
        <f>955500-67650-150000-204966</f>
        <v>532884</v>
      </c>
      <c r="H492" s="13">
        <v>0</v>
      </c>
      <c r="I492" s="13">
        <v>0</v>
      </c>
      <c r="J492" s="13">
        <v>0</v>
      </c>
      <c r="K492" s="49"/>
      <c r="L492" s="23"/>
      <c r="M492" s="23"/>
      <c r="N492" s="23"/>
      <c r="O492" s="23"/>
    </row>
    <row r="493" spans="1:16" ht="15.75" customHeight="1" x14ac:dyDescent="0.25">
      <c r="A493" s="53" t="s">
        <v>53</v>
      </c>
      <c r="B493" s="53"/>
      <c r="C493" s="53"/>
      <c r="D493" s="53"/>
      <c r="E493" s="53"/>
      <c r="F493" s="53"/>
      <c r="G493" s="53"/>
      <c r="H493" s="53"/>
      <c r="I493" s="53"/>
      <c r="J493" s="53"/>
      <c r="K493" s="53"/>
    </row>
    <row r="494" spans="1:16" ht="24.75" customHeight="1" x14ac:dyDescent="0.25">
      <c r="A494" s="49" t="s">
        <v>24</v>
      </c>
      <c r="B494" s="50" t="s">
        <v>54</v>
      </c>
      <c r="C494" s="48">
        <v>45292</v>
      </c>
      <c r="D494" s="48">
        <v>46752</v>
      </c>
      <c r="E494" s="44" t="s">
        <v>5</v>
      </c>
      <c r="F494" s="47" t="s">
        <v>55</v>
      </c>
      <c r="G494" s="2">
        <f>SUM(G495:G497)</f>
        <v>114453524.41</v>
      </c>
      <c r="H494" s="2">
        <f t="shared" ref="H494:I494" si="178">SUM(H495:H497)</f>
        <v>117393050</v>
      </c>
      <c r="I494" s="2">
        <f t="shared" si="178"/>
        <v>121559103</v>
      </c>
      <c r="J494" s="2">
        <f t="shared" ref="J494" si="179">SUM(J495:J497)</f>
        <v>128096110</v>
      </c>
      <c r="K494" s="49" t="s">
        <v>26</v>
      </c>
    </row>
    <row r="495" spans="1:16" ht="24.75" customHeight="1" x14ac:dyDescent="0.25">
      <c r="A495" s="49"/>
      <c r="B495" s="50"/>
      <c r="C495" s="48"/>
      <c r="D495" s="48"/>
      <c r="E495" s="44" t="s">
        <v>7</v>
      </c>
      <c r="F495" s="47" t="s">
        <v>8</v>
      </c>
      <c r="G495" s="2">
        <v>0</v>
      </c>
      <c r="H495" s="2">
        <v>0</v>
      </c>
      <c r="I495" s="2">
        <v>0</v>
      </c>
      <c r="J495" s="2">
        <v>0</v>
      </c>
      <c r="K495" s="49"/>
    </row>
    <row r="496" spans="1:16" ht="24.75" customHeight="1" x14ac:dyDescent="0.25">
      <c r="A496" s="49"/>
      <c r="B496" s="50"/>
      <c r="C496" s="48"/>
      <c r="D496" s="48"/>
      <c r="E496" s="44" t="s">
        <v>9</v>
      </c>
      <c r="F496" s="47" t="s">
        <v>8</v>
      </c>
      <c r="G496" s="2">
        <v>0</v>
      </c>
      <c r="H496" s="2">
        <v>0</v>
      </c>
      <c r="I496" s="2">
        <v>0</v>
      </c>
      <c r="J496" s="2">
        <v>0</v>
      </c>
      <c r="K496" s="49"/>
    </row>
    <row r="497" spans="1:11" ht="24.75" customHeight="1" x14ac:dyDescent="0.25">
      <c r="A497" s="49"/>
      <c r="B497" s="50"/>
      <c r="C497" s="48"/>
      <c r="D497" s="48"/>
      <c r="E497" s="44" t="s">
        <v>10</v>
      </c>
      <c r="F497" s="47" t="s">
        <v>8</v>
      </c>
      <c r="G497" s="2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97" s="2">
        <f>114050050-157000+3500000</f>
        <v>117393050</v>
      </c>
      <c r="I497" s="2">
        <v>121559103</v>
      </c>
      <c r="J497" s="2">
        <v>128096110</v>
      </c>
      <c r="K497" s="49"/>
    </row>
    <row r="498" spans="1:11" ht="24.75" customHeight="1" x14ac:dyDescent="0.25">
      <c r="A498" s="49" t="s">
        <v>145</v>
      </c>
      <c r="B498" s="50" t="s">
        <v>54</v>
      </c>
      <c r="C498" s="48">
        <v>45292</v>
      </c>
      <c r="D498" s="48">
        <v>46752</v>
      </c>
      <c r="E498" s="44" t="s">
        <v>5</v>
      </c>
      <c r="F498" s="47" t="s">
        <v>146</v>
      </c>
      <c r="G498" s="2">
        <f>SUM(G499:G501)</f>
        <v>931144</v>
      </c>
      <c r="H498" s="2">
        <f t="shared" ref="H498:J498" si="180">SUM(H499:H501)</f>
        <v>15661961</v>
      </c>
      <c r="I498" s="2">
        <f t="shared" ref="I498" si="181">SUM(I499:I501)</f>
        <v>19778578</v>
      </c>
      <c r="J498" s="2">
        <f t="shared" si="180"/>
        <v>20122010</v>
      </c>
      <c r="K498" s="49" t="s">
        <v>147</v>
      </c>
    </row>
    <row r="499" spans="1:11" ht="24.75" customHeight="1" x14ac:dyDescent="0.25">
      <c r="A499" s="49"/>
      <c r="B499" s="50"/>
      <c r="C499" s="48"/>
      <c r="D499" s="48"/>
      <c r="E499" s="44" t="s">
        <v>7</v>
      </c>
      <c r="F499" s="47" t="s">
        <v>8</v>
      </c>
      <c r="G499" s="2">
        <v>0</v>
      </c>
      <c r="H499" s="2">
        <v>0</v>
      </c>
      <c r="I499" s="2">
        <v>0</v>
      </c>
      <c r="J499" s="2">
        <v>0</v>
      </c>
      <c r="K499" s="49"/>
    </row>
    <row r="500" spans="1:11" ht="24.75" customHeight="1" x14ac:dyDescent="0.25">
      <c r="A500" s="49"/>
      <c r="B500" s="50"/>
      <c r="C500" s="48"/>
      <c r="D500" s="48"/>
      <c r="E500" s="44" t="s">
        <v>9</v>
      </c>
      <c r="F500" s="47" t="s">
        <v>8</v>
      </c>
      <c r="G500" s="2">
        <v>0</v>
      </c>
      <c r="H500" s="2">
        <v>0</v>
      </c>
      <c r="I500" s="2">
        <v>0</v>
      </c>
      <c r="J500" s="2">
        <v>0</v>
      </c>
      <c r="K500" s="49"/>
    </row>
    <row r="501" spans="1:11" ht="24.75" customHeight="1" x14ac:dyDescent="0.25">
      <c r="A501" s="49"/>
      <c r="B501" s="50"/>
      <c r="C501" s="48"/>
      <c r="D501" s="48"/>
      <c r="E501" s="44" t="s">
        <v>10</v>
      </c>
      <c r="F501" s="47" t="s">
        <v>8</v>
      </c>
      <c r="G501" s="2">
        <f>10571400-1000000-1000000-1000000-1200000-861132-3032367-1546757</f>
        <v>931144</v>
      </c>
      <c r="H501" s="2">
        <f>19161961-3500000</f>
        <v>15661961</v>
      </c>
      <c r="I501" s="2">
        <v>19778578</v>
      </c>
      <c r="J501" s="2">
        <v>20122010</v>
      </c>
      <c r="K501" s="49"/>
    </row>
    <row r="502" spans="1:11" ht="24.75" customHeight="1" x14ac:dyDescent="0.25">
      <c r="A502" s="49" t="s">
        <v>233</v>
      </c>
      <c r="B502" s="49" t="s">
        <v>112</v>
      </c>
      <c r="C502" s="48">
        <v>45292</v>
      </c>
      <c r="D502" s="48">
        <v>45657</v>
      </c>
      <c r="E502" s="44" t="s">
        <v>5</v>
      </c>
      <c r="F502" s="47" t="s">
        <v>114</v>
      </c>
      <c r="G502" s="2">
        <f>SUM(G503:G505)</f>
        <v>150000</v>
      </c>
      <c r="H502" s="2">
        <f t="shared" ref="H502:J502" si="182">SUM(H503:H505)</f>
        <v>0</v>
      </c>
      <c r="I502" s="2">
        <f t="shared" ref="I502" si="183">SUM(I503:I505)</f>
        <v>0</v>
      </c>
      <c r="J502" s="2">
        <f t="shared" si="182"/>
        <v>0</v>
      </c>
      <c r="K502" s="49" t="s">
        <v>232</v>
      </c>
    </row>
    <row r="503" spans="1:11" ht="24.75" customHeight="1" x14ac:dyDescent="0.25">
      <c r="A503" s="49"/>
      <c r="B503" s="49"/>
      <c r="C503" s="48"/>
      <c r="D503" s="48"/>
      <c r="E503" s="44" t="s">
        <v>7</v>
      </c>
      <c r="F503" s="47" t="s">
        <v>8</v>
      </c>
      <c r="G503" s="2">
        <v>0</v>
      </c>
      <c r="H503" s="2">
        <v>0</v>
      </c>
      <c r="I503" s="2">
        <v>0</v>
      </c>
      <c r="J503" s="2">
        <v>0</v>
      </c>
      <c r="K503" s="49"/>
    </row>
    <row r="504" spans="1:11" ht="24.75" customHeight="1" x14ac:dyDescent="0.25">
      <c r="A504" s="49"/>
      <c r="B504" s="49"/>
      <c r="C504" s="48"/>
      <c r="D504" s="48"/>
      <c r="E504" s="44" t="s">
        <v>9</v>
      </c>
      <c r="F504" s="47" t="s">
        <v>8</v>
      </c>
      <c r="G504" s="2">
        <v>0</v>
      </c>
      <c r="H504" s="2">
        <v>0</v>
      </c>
      <c r="I504" s="2">
        <v>0</v>
      </c>
      <c r="J504" s="2">
        <v>0</v>
      </c>
      <c r="K504" s="49"/>
    </row>
    <row r="505" spans="1:11" ht="24.75" customHeight="1" x14ac:dyDescent="0.25">
      <c r="A505" s="49"/>
      <c r="B505" s="49"/>
      <c r="C505" s="48"/>
      <c r="D505" s="48"/>
      <c r="E505" s="44" t="s">
        <v>10</v>
      </c>
      <c r="F505" s="47" t="s">
        <v>8</v>
      </c>
      <c r="G505" s="2">
        <v>150000</v>
      </c>
      <c r="H505" s="2">
        <v>0</v>
      </c>
      <c r="I505" s="2">
        <v>0</v>
      </c>
      <c r="J505" s="2">
        <v>0</v>
      </c>
      <c r="K505" s="49"/>
    </row>
    <row r="506" spans="1:11" ht="26.25" customHeight="1" x14ac:dyDescent="0.25">
      <c r="A506" s="49" t="s">
        <v>307</v>
      </c>
      <c r="B506" s="49" t="s">
        <v>112</v>
      </c>
      <c r="C506" s="48">
        <v>45292</v>
      </c>
      <c r="D506" s="48">
        <v>46752</v>
      </c>
      <c r="E506" s="44" t="s">
        <v>5</v>
      </c>
      <c r="F506" s="47" t="s">
        <v>114</v>
      </c>
      <c r="G506" s="2">
        <f>SUM(G507:G509)</f>
        <v>471276.74</v>
      </c>
      <c r="H506" s="2">
        <f t="shared" ref="H506:J506" si="184">SUM(H507:H509)</f>
        <v>624110.30000000005</v>
      </c>
      <c r="I506" s="2">
        <f t="shared" ref="I506" si="185">SUM(I507:I509)</f>
        <v>712923.49</v>
      </c>
      <c r="J506" s="2">
        <f t="shared" si="184"/>
        <v>1971990</v>
      </c>
      <c r="K506" s="49" t="s">
        <v>137</v>
      </c>
    </row>
    <row r="507" spans="1:11" ht="33.75" customHeight="1" x14ac:dyDescent="0.25">
      <c r="A507" s="49"/>
      <c r="B507" s="49"/>
      <c r="C507" s="48"/>
      <c r="D507" s="48"/>
      <c r="E507" s="44" t="s">
        <v>7</v>
      </c>
      <c r="F507" s="47" t="s">
        <v>8</v>
      </c>
      <c r="G507" s="2">
        <v>0</v>
      </c>
      <c r="H507" s="2">
        <v>0</v>
      </c>
      <c r="I507" s="2">
        <v>0</v>
      </c>
      <c r="J507" s="2">
        <v>0</v>
      </c>
      <c r="K507" s="49"/>
    </row>
    <row r="508" spans="1:11" ht="33.75" customHeight="1" x14ac:dyDescent="0.25">
      <c r="A508" s="49"/>
      <c r="B508" s="49"/>
      <c r="C508" s="48"/>
      <c r="D508" s="48"/>
      <c r="E508" s="44" t="s">
        <v>9</v>
      </c>
      <c r="F508" s="47" t="s">
        <v>8</v>
      </c>
      <c r="G508" s="2">
        <v>0</v>
      </c>
      <c r="H508" s="2">
        <v>0</v>
      </c>
      <c r="I508" s="2">
        <v>0</v>
      </c>
      <c r="J508" s="2">
        <v>0</v>
      </c>
      <c r="K508" s="49"/>
    </row>
    <row r="509" spans="1:11" ht="26.25" customHeight="1" x14ac:dyDescent="0.25">
      <c r="A509" s="49"/>
      <c r="B509" s="49"/>
      <c r="C509" s="48"/>
      <c r="D509" s="48"/>
      <c r="E509" s="44" t="s">
        <v>10</v>
      </c>
      <c r="F509" s="47" t="s">
        <v>8</v>
      </c>
      <c r="G509" s="2">
        <f>88000+394785.82-11509.08</f>
        <v>471276.74</v>
      </c>
      <c r="H509" s="2">
        <f>95405.83+404504.47+124200</f>
        <v>624110.30000000005</v>
      </c>
      <c r="I509" s="2">
        <f>24000+404504.47+284419.02</f>
        <v>712923.49</v>
      </c>
      <c r="J509" s="2">
        <v>1971990</v>
      </c>
      <c r="K509" s="49"/>
    </row>
    <row r="510" spans="1:11" ht="26.25" customHeight="1" x14ac:dyDescent="0.25">
      <c r="A510" s="49" t="s">
        <v>238</v>
      </c>
      <c r="B510" s="49" t="s">
        <v>148</v>
      </c>
      <c r="C510" s="48">
        <v>45292</v>
      </c>
      <c r="D510" s="48">
        <v>45657</v>
      </c>
      <c r="E510" s="44" t="s">
        <v>5</v>
      </c>
      <c r="F510" s="47" t="s">
        <v>114</v>
      </c>
      <c r="G510" s="2">
        <f>SUM(G511:G514)</f>
        <v>88265.900000000009</v>
      </c>
      <c r="H510" s="2">
        <f t="shared" ref="H510:J510" si="186">SUM(H511:H514)</f>
        <v>0</v>
      </c>
      <c r="I510" s="2">
        <f t="shared" ref="I510" si="187">SUM(I511:I514)</f>
        <v>0</v>
      </c>
      <c r="J510" s="2">
        <f t="shared" si="186"/>
        <v>0</v>
      </c>
      <c r="K510" s="49" t="s">
        <v>125</v>
      </c>
    </row>
    <row r="511" spans="1:11" ht="26.25" customHeight="1" x14ac:dyDescent="0.25">
      <c r="A511" s="49"/>
      <c r="B511" s="49"/>
      <c r="C511" s="48"/>
      <c r="D511" s="48"/>
      <c r="E511" s="44" t="s">
        <v>7</v>
      </c>
      <c r="F511" s="47" t="s">
        <v>8</v>
      </c>
      <c r="G511" s="2">
        <v>0</v>
      </c>
      <c r="H511" s="2">
        <v>0</v>
      </c>
      <c r="I511" s="2">
        <v>0</v>
      </c>
      <c r="J511" s="2">
        <v>0</v>
      </c>
      <c r="K511" s="49"/>
    </row>
    <row r="512" spans="1:11" ht="26.25" customHeight="1" x14ac:dyDescent="0.25">
      <c r="A512" s="49"/>
      <c r="B512" s="49"/>
      <c r="C512" s="48"/>
      <c r="D512" s="48"/>
      <c r="E512" s="44" t="s">
        <v>9</v>
      </c>
      <c r="F512" s="47" t="s">
        <v>8</v>
      </c>
      <c r="G512" s="2">
        <v>0</v>
      </c>
      <c r="H512" s="2">
        <v>0</v>
      </c>
      <c r="I512" s="2">
        <v>0</v>
      </c>
      <c r="J512" s="2">
        <v>0</v>
      </c>
      <c r="K512" s="49"/>
    </row>
    <row r="513" spans="1:11" ht="26.25" customHeight="1" x14ac:dyDescent="0.25">
      <c r="A513" s="49"/>
      <c r="B513" s="49"/>
      <c r="C513" s="48"/>
      <c r="D513" s="48"/>
      <c r="E513" s="44" t="s">
        <v>10</v>
      </c>
      <c r="F513" s="47" t="s">
        <v>8</v>
      </c>
      <c r="G513" s="2">
        <v>58843.930000000022</v>
      </c>
      <c r="H513" s="2">
        <v>0</v>
      </c>
      <c r="I513" s="2">
        <v>0</v>
      </c>
      <c r="J513" s="2">
        <v>0</v>
      </c>
      <c r="K513" s="49"/>
    </row>
    <row r="514" spans="1:11" ht="39.75" customHeight="1" x14ac:dyDescent="0.25">
      <c r="A514" s="49"/>
      <c r="B514" s="49"/>
      <c r="C514" s="48"/>
      <c r="D514" s="48"/>
      <c r="E514" s="44" t="s">
        <v>127</v>
      </c>
      <c r="F514" s="47" t="s">
        <v>8</v>
      </c>
      <c r="G514" s="2">
        <v>29421.969999999987</v>
      </c>
      <c r="H514" s="2">
        <v>0</v>
      </c>
      <c r="I514" s="2">
        <v>0</v>
      </c>
      <c r="J514" s="2">
        <v>0</v>
      </c>
      <c r="K514" s="49"/>
    </row>
    <row r="515" spans="1:11" ht="24.75" customHeight="1" x14ac:dyDescent="0.25">
      <c r="A515" s="49" t="s">
        <v>308</v>
      </c>
      <c r="B515" s="49" t="s">
        <v>148</v>
      </c>
      <c r="C515" s="48">
        <v>45292</v>
      </c>
      <c r="D515" s="48">
        <v>46022</v>
      </c>
      <c r="E515" s="44" t="s">
        <v>5</v>
      </c>
      <c r="F515" s="47" t="s">
        <v>114</v>
      </c>
      <c r="G515" s="2">
        <f>SUM(G516:G518)</f>
        <v>493311.97</v>
      </c>
      <c r="H515" s="2">
        <f t="shared" ref="H515:J515" si="188">SUM(H516:H518)</f>
        <v>290051</v>
      </c>
      <c r="I515" s="2">
        <f t="shared" ref="I515" si="189">SUM(I516:I518)</f>
        <v>0</v>
      </c>
      <c r="J515" s="2">
        <f t="shared" si="188"/>
        <v>0</v>
      </c>
      <c r="K515" s="49" t="s">
        <v>125</v>
      </c>
    </row>
    <row r="516" spans="1:11" ht="24.75" customHeight="1" x14ac:dyDescent="0.25">
      <c r="A516" s="49"/>
      <c r="B516" s="49"/>
      <c r="C516" s="48"/>
      <c r="D516" s="48"/>
      <c r="E516" s="44" t="s">
        <v>7</v>
      </c>
      <c r="F516" s="47" t="s">
        <v>8</v>
      </c>
      <c r="G516" s="2">
        <v>0</v>
      </c>
      <c r="H516" s="2">
        <v>0</v>
      </c>
      <c r="I516" s="2">
        <v>0</v>
      </c>
      <c r="J516" s="2">
        <v>0</v>
      </c>
      <c r="K516" s="49"/>
    </row>
    <row r="517" spans="1:11" ht="24.75" customHeight="1" x14ac:dyDescent="0.25">
      <c r="A517" s="49"/>
      <c r="B517" s="49"/>
      <c r="C517" s="48"/>
      <c r="D517" s="48"/>
      <c r="E517" s="44" t="s">
        <v>9</v>
      </c>
      <c r="F517" s="47" t="s">
        <v>8</v>
      </c>
      <c r="G517" s="2">
        <v>0</v>
      </c>
      <c r="H517" s="2">
        <v>0</v>
      </c>
      <c r="I517" s="2">
        <v>0</v>
      </c>
      <c r="J517" s="2">
        <v>0</v>
      </c>
      <c r="K517" s="49"/>
    </row>
    <row r="518" spans="1:11" ht="24.75" customHeight="1" x14ac:dyDescent="0.25">
      <c r="A518" s="49"/>
      <c r="B518" s="49"/>
      <c r="C518" s="48"/>
      <c r="D518" s="48"/>
      <c r="E518" s="44" t="s">
        <v>10</v>
      </c>
      <c r="F518" s="47" t="s">
        <v>8</v>
      </c>
      <c r="G518" s="2">
        <f>285762.37+239468.62-31919.02</f>
        <v>493311.97</v>
      </c>
      <c r="H518" s="2">
        <v>290051</v>
      </c>
      <c r="I518" s="2">
        <v>0</v>
      </c>
      <c r="J518" s="2">
        <v>0</v>
      </c>
      <c r="K518" s="49"/>
    </row>
    <row r="519" spans="1:11" ht="37.5" customHeight="1" x14ac:dyDescent="0.25">
      <c r="A519" s="49" t="s">
        <v>356</v>
      </c>
      <c r="B519" s="49" t="s">
        <v>225</v>
      </c>
      <c r="C519" s="48">
        <v>45292</v>
      </c>
      <c r="D519" s="48">
        <v>46752</v>
      </c>
      <c r="E519" s="44" t="s">
        <v>5</v>
      </c>
      <c r="F519" s="47" t="s">
        <v>114</v>
      </c>
      <c r="G519" s="2">
        <f>SUM(G520:G522)</f>
        <v>112523.40000000001</v>
      </c>
      <c r="H519" s="2">
        <f t="shared" ref="H519:J519" si="190">SUM(H520:H522)</f>
        <v>2599922.2200000002</v>
      </c>
      <c r="I519" s="2">
        <f t="shared" ref="I519" si="191">SUM(I520:I522)</f>
        <v>5999502.7699999996</v>
      </c>
      <c r="J519" s="2">
        <f t="shared" si="190"/>
        <v>4646416.7699999996</v>
      </c>
      <c r="K519" s="49" t="s">
        <v>239</v>
      </c>
    </row>
    <row r="520" spans="1:11" ht="37.5" customHeight="1" x14ac:dyDescent="0.25">
      <c r="A520" s="49"/>
      <c r="B520" s="49"/>
      <c r="C520" s="48"/>
      <c r="D520" s="48"/>
      <c r="E520" s="44" t="s">
        <v>7</v>
      </c>
      <c r="F520" s="47" t="s">
        <v>8</v>
      </c>
      <c r="G520" s="2">
        <v>0</v>
      </c>
      <c r="H520" s="2">
        <v>0</v>
      </c>
      <c r="I520" s="2">
        <v>0</v>
      </c>
      <c r="J520" s="2">
        <v>0</v>
      </c>
      <c r="K520" s="49"/>
    </row>
    <row r="521" spans="1:11" ht="37.5" customHeight="1" x14ac:dyDescent="0.25">
      <c r="A521" s="49"/>
      <c r="B521" s="49"/>
      <c r="C521" s="48"/>
      <c r="D521" s="48"/>
      <c r="E521" s="44" t="s">
        <v>9</v>
      </c>
      <c r="F521" s="47" t="s">
        <v>8</v>
      </c>
      <c r="G521" s="2">
        <v>0</v>
      </c>
      <c r="H521" s="2">
        <v>0</v>
      </c>
      <c r="I521" s="2">
        <v>0</v>
      </c>
      <c r="J521" s="2">
        <v>0</v>
      </c>
      <c r="K521" s="49"/>
    </row>
    <row r="522" spans="1:11" ht="37.5" customHeight="1" x14ac:dyDescent="0.25">
      <c r="A522" s="49"/>
      <c r="B522" s="49"/>
      <c r="C522" s="48"/>
      <c r="D522" s="48"/>
      <c r="E522" s="44" t="s">
        <v>10</v>
      </c>
      <c r="F522" s="47" t="s">
        <v>8</v>
      </c>
      <c r="G522" s="2">
        <f>65000+175000-138985.68+11509.08</f>
        <v>112523.40000000001</v>
      </c>
      <c r="H522" s="2">
        <f>99922.22+2500000</f>
        <v>2599922.2200000002</v>
      </c>
      <c r="I522" s="2">
        <f>4646416.77+553086+800000</f>
        <v>5999502.7699999996</v>
      </c>
      <c r="J522" s="2">
        <v>4646416.7699999996</v>
      </c>
      <c r="K522" s="49"/>
    </row>
    <row r="523" spans="1:11" ht="28.5" customHeight="1" x14ac:dyDescent="0.25">
      <c r="A523" s="49" t="s">
        <v>309</v>
      </c>
      <c r="B523" s="49" t="s">
        <v>123</v>
      </c>
      <c r="C523" s="48">
        <v>45292</v>
      </c>
      <c r="D523" s="48">
        <v>46387</v>
      </c>
      <c r="E523" s="44" t="s">
        <v>5</v>
      </c>
      <c r="F523" s="47" t="s">
        <v>114</v>
      </c>
      <c r="G523" s="2">
        <f>SUM(G524:G526)</f>
        <v>957376.09</v>
      </c>
      <c r="H523" s="2">
        <f t="shared" ref="H523" si="192">SUM(H524:H526)</f>
        <v>1074543.17</v>
      </c>
      <c r="I523" s="2">
        <f t="shared" ref="I523:J523" si="193">SUM(I524:I526)</f>
        <v>0</v>
      </c>
      <c r="J523" s="2">
        <f t="shared" si="193"/>
        <v>0</v>
      </c>
      <c r="K523" s="49" t="s">
        <v>239</v>
      </c>
    </row>
    <row r="524" spans="1:11" ht="34.5" customHeight="1" x14ac:dyDescent="0.25">
      <c r="A524" s="49"/>
      <c r="B524" s="49"/>
      <c r="C524" s="48"/>
      <c r="D524" s="48"/>
      <c r="E524" s="44" t="s">
        <v>7</v>
      </c>
      <c r="F524" s="47" t="s">
        <v>8</v>
      </c>
      <c r="G524" s="2">
        <v>0</v>
      </c>
      <c r="H524" s="2">
        <v>0</v>
      </c>
      <c r="I524" s="2">
        <v>0</v>
      </c>
      <c r="J524" s="2">
        <v>0</v>
      </c>
      <c r="K524" s="49"/>
    </row>
    <row r="525" spans="1:11" ht="34.5" customHeight="1" x14ac:dyDescent="0.25">
      <c r="A525" s="49"/>
      <c r="B525" s="49"/>
      <c r="C525" s="48"/>
      <c r="D525" s="48"/>
      <c r="E525" s="44" t="s">
        <v>9</v>
      </c>
      <c r="F525" s="47" t="s">
        <v>8</v>
      </c>
      <c r="G525" s="2">
        <v>0</v>
      </c>
      <c r="H525" s="2">
        <v>0</v>
      </c>
      <c r="I525" s="2">
        <v>0</v>
      </c>
      <c r="J525" s="2">
        <v>0</v>
      </c>
      <c r="K525" s="49"/>
    </row>
    <row r="526" spans="1:11" ht="30.75" customHeight="1" x14ac:dyDescent="0.25">
      <c r="A526" s="49"/>
      <c r="B526" s="49"/>
      <c r="C526" s="48"/>
      <c r="D526" s="48"/>
      <c r="E526" s="44" t="s">
        <v>10</v>
      </c>
      <c r="F526" s="47" t="s">
        <v>8</v>
      </c>
      <c r="G526" s="2">
        <f>26116.09+80000+577260+274000</f>
        <v>957376.09</v>
      </c>
      <c r="H526" s="2">
        <f>300000+617543.17+157000</f>
        <v>1074543.17</v>
      </c>
      <c r="I526" s="2">
        <v>0</v>
      </c>
      <c r="J526" s="2">
        <v>0</v>
      </c>
      <c r="K526" s="49"/>
    </row>
    <row r="527" spans="1:11" ht="25.5" customHeight="1" x14ac:dyDescent="0.25">
      <c r="A527" s="49" t="s">
        <v>310</v>
      </c>
      <c r="B527" s="49" t="s">
        <v>234</v>
      </c>
      <c r="C527" s="48">
        <v>45292</v>
      </c>
      <c r="D527" s="48">
        <v>46752</v>
      </c>
      <c r="E527" s="44" t="s">
        <v>5</v>
      </c>
      <c r="F527" s="47" t="s">
        <v>114</v>
      </c>
      <c r="G527" s="2">
        <f>SUM(G528:G530)</f>
        <v>138985.68</v>
      </c>
      <c r="H527" s="2">
        <f t="shared" ref="H527:J527" si="194">SUM(H528:H530)</f>
        <v>0</v>
      </c>
      <c r="I527" s="2">
        <f t="shared" ref="I527" si="195">SUM(I528:I530)</f>
        <v>0</v>
      </c>
      <c r="J527" s="2">
        <f t="shared" si="194"/>
        <v>242100</v>
      </c>
      <c r="K527" s="49" t="s">
        <v>137</v>
      </c>
    </row>
    <row r="528" spans="1:11" ht="25.5" customHeight="1" x14ac:dyDescent="0.25">
      <c r="A528" s="49"/>
      <c r="B528" s="49"/>
      <c r="C528" s="48"/>
      <c r="D528" s="48"/>
      <c r="E528" s="44" t="s">
        <v>7</v>
      </c>
      <c r="F528" s="47" t="s">
        <v>8</v>
      </c>
      <c r="G528" s="2">
        <v>0</v>
      </c>
      <c r="H528" s="2">
        <v>0</v>
      </c>
      <c r="I528" s="2">
        <v>0</v>
      </c>
      <c r="J528" s="2">
        <v>0</v>
      </c>
      <c r="K528" s="49"/>
    </row>
    <row r="529" spans="1:16" ht="25.5" customHeight="1" x14ac:dyDescent="0.25">
      <c r="A529" s="49"/>
      <c r="B529" s="49"/>
      <c r="C529" s="48"/>
      <c r="D529" s="48"/>
      <c r="E529" s="44" t="s">
        <v>9</v>
      </c>
      <c r="F529" s="47" t="s">
        <v>8</v>
      </c>
      <c r="G529" s="2">
        <v>0</v>
      </c>
      <c r="H529" s="2">
        <v>0</v>
      </c>
      <c r="I529" s="2">
        <v>0</v>
      </c>
      <c r="J529" s="2">
        <v>0</v>
      </c>
      <c r="K529" s="49"/>
    </row>
    <row r="530" spans="1:16" ht="25.5" customHeight="1" x14ac:dyDescent="0.25">
      <c r="A530" s="49"/>
      <c r="B530" s="49"/>
      <c r="C530" s="48"/>
      <c r="D530" s="48"/>
      <c r="E530" s="44" t="s">
        <v>10</v>
      </c>
      <c r="F530" s="47" t="s">
        <v>8</v>
      </c>
      <c r="G530" s="2">
        <v>138985.68</v>
      </c>
      <c r="H530" s="2">
        <v>0</v>
      </c>
      <c r="I530" s="2">
        <v>0</v>
      </c>
      <c r="J530" s="2">
        <v>242100</v>
      </c>
      <c r="K530" s="49"/>
    </row>
    <row r="531" spans="1:16" ht="28.5" customHeight="1" x14ac:dyDescent="0.25">
      <c r="A531" s="49" t="s">
        <v>237</v>
      </c>
      <c r="B531" s="49" t="s">
        <v>199</v>
      </c>
      <c r="C531" s="48">
        <v>45292</v>
      </c>
      <c r="D531" s="48">
        <v>45292</v>
      </c>
      <c r="E531" s="44" t="s">
        <v>5</v>
      </c>
      <c r="F531" s="47" t="s">
        <v>114</v>
      </c>
      <c r="G531" s="2">
        <f>SUM(G532:G534)</f>
        <v>1716530.99</v>
      </c>
      <c r="H531" s="2">
        <f t="shared" ref="H531:J531" si="196">SUM(H532:H534)</f>
        <v>0</v>
      </c>
      <c r="I531" s="2">
        <f t="shared" ref="I531" si="197">SUM(I532:I534)</f>
        <v>0</v>
      </c>
      <c r="J531" s="2">
        <f t="shared" si="196"/>
        <v>0</v>
      </c>
      <c r="K531" s="49" t="s">
        <v>125</v>
      </c>
    </row>
    <row r="532" spans="1:16" ht="28.5" customHeight="1" x14ac:dyDescent="0.25">
      <c r="A532" s="49"/>
      <c r="B532" s="49"/>
      <c r="C532" s="48"/>
      <c r="D532" s="48"/>
      <c r="E532" s="44" t="s">
        <v>7</v>
      </c>
      <c r="F532" s="47" t="s">
        <v>8</v>
      </c>
      <c r="G532" s="2">
        <v>0</v>
      </c>
      <c r="H532" s="2">
        <v>0</v>
      </c>
      <c r="I532" s="2">
        <v>0</v>
      </c>
      <c r="J532" s="2">
        <v>0</v>
      </c>
      <c r="K532" s="49"/>
    </row>
    <row r="533" spans="1:16" ht="28.5" customHeight="1" x14ac:dyDescent="0.25">
      <c r="A533" s="49"/>
      <c r="B533" s="49"/>
      <c r="C533" s="48"/>
      <c r="D533" s="48"/>
      <c r="E533" s="44" t="s">
        <v>9</v>
      </c>
      <c r="F533" s="47" t="s">
        <v>8</v>
      </c>
      <c r="G533" s="2">
        <v>0</v>
      </c>
      <c r="H533" s="2">
        <v>0</v>
      </c>
      <c r="I533" s="2">
        <v>0</v>
      </c>
      <c r="J533" s="2">
        <v>0</v>
      </c>
      <c r="K533" s="49"/>
    </row>
    <row r="534" spans="1:16" ht="28.5" customHeight="1" x14ac:dyDescent="0.25">
      <c r="A534" s="49"/>
      <c r="B534" s="49"/>
      <c r="C534" s="48"/>
      <c r="D534" s="48"/>
      <c r="E534" s="44" t="s">
        <v>10</v>
      </c>
      <c r="F534" s="47" t="s">
        <v>8</v>
      </c>
      <c r="G534" s="2">
        <v>1716530.99</v>
      </c>
      <c r="H534" s="2">
        <v>0</v>
      </c>
      <c r="I534" s="2">
        <v>0</v>
      </c>
      <c r="J534" s="2">
        <v>0</v>
      </c>
      <c r="K534" s="49"/>
    </row>
    <row r="535" spans="1:16" ht="27.75" customHeight="1" x14ac:dyDescent="0.25">
      <c r="A535" s="49" t="s">
        <v>30</v>
      </c>
      <c r="B535" s="50" t="s">
        <v>54</v>
      </c>
      <c r="C535" s="48">
        <v>45292</v>
      </c>
      <c r="D535" s="48">
        <v>46752</v>
      </c>
      <c r="E535" s="44" t="s">
        <v>5</v>
      </c>
      <c r="F535" s="47" t="s">
        <v>56</v>
      </c>
      <c r="G535" s="2">
        <f>SUM(G536:G538)</f>
        <v>50778</v>
      </c>
      <c r="H535" s="2">
        <f t="shared" ref="H535:I535" si="198">SUM(H536:H538)</f>
        <v>54684</v>
      </c>
      <c r="I535" s="2">
        <f t="shared" si="198"/>
        <v>46872</v>
      </c>
      <c r="J535" s="2">
        <f t="shared" ref="J535" si="199">SUM(J536:J538)</f>
        <v>23437</v>
      </c>
      <c r="K535" s="49" t="s">
        <v>32</v>
      </c>
      <c r="P535" s="4"/>
    </row>
    <row r="536" spans="1:16" ht="24.75" customHeight="1" x14ac:dyDescent="0.25">
      <c r="A536" s="49"/>
      <c r="B536" s="50"/>
      <c r="C536" s="48"/>
      <c r="D536" s="48"/>
      <c r="E536" s="44" t="s">
        <v>7</v>
      </c>
      <c r="F536" s="47" t="s">
        <v>8</v>
      </c>
      <c r="G536" s="2">
        <v>0</v>
      </c>
      <c r="H536" s="2">
        <v>0</v>
      </c>
      <c r="I536" s="2">
        <v>0</v>
      </c>
      <c r="J536" s="2">
        <v>0</v>
      </c>
      <c r="K536" s="49"/>
      <c r="P536" s="4"/>
    </row>
    <row r="537" spans="1:16" ht="24.75" customHeight="1" x14ac:dyDescent="0.25">
      <c r="A537" s="49"/>
      <c r="B537" s="50"/>
      <c r="C537" s="48"/>
      <c r="D537" s="48"/>
      <c r="E537" s="44" t="s">
        <v>9</v>
      </c>
      <c r="F537" s="47" t="s">
        <v>8</v>
      </c>
      <c r="G537" s="2">
        <v>0</v>
      </c>
      <c r="H537" s="2">
        <v>0</v>
      </c>
      <c r="I537" s="2">
        <v>0</v>
      </c>
      <c r="J537" s="2">
        <v>0</v>
      </c>
      <c r="K537" s="49"/>
      <c r="P537" s="4"/>
    </row>
    <row r="538" spans="1:16" ht="24.75" customHeight="1" x14ac:dyDescent="0.25">
      <c r="A538" s="49"/>
      <c r="B538" s="50"/>
      <c r="C538" s="48"/>
      <c r="D538" s="48"/>
      <c r="E538" s="44" t="s">
        <v>10</v>
      </c>
      <c r="F538" s="47" t="s">
        <v>8</v>
      </c>
      <c r="G538" s="2">
        <f>70308-19530</f>
        <v>50778</v>
      </c>
      <c r="H538" s="2">
        <v>54684</v>
      </c>
      <c r="I538" s="2">
        <v>46872</v>
      </c>
      <c r="J538" s="2">
        <v>23437</v>
      </c>
      <c r="K538" s="49"/>
      <c r="P538" s="4"/>
    </row>
    <row r="539" spans="1:16" ht="45.75" customHeight="1" x14ac:dyDescent="0.25">
      <c r="A539" s="49" t="s">
        <v>311</v>
      </c>
      <c r="B539" s="50" t="s">
        <v>54</v>
      </c>
      <c r="C539" s="48">
        <v>45658</v>
      </c>
      <c r="D539" s="48">
        <v>46752</v>
      </c>
      <c r="E539" s="44" t="s">
        <v>5</v>
      </c>
      <c r="F539" s="47" t="s">
        <v>312</v>
      </c>
      <c r="G539" s="2">
        <f>SUM(G540:G542)</f>
        <v>0</v>
      </c>
      <c r="H539" s="2">
        <f t="shared" ref="H539:I539" si="200">SUM(H540:H542)</f>
        <v>4251659.95</v>
      </c>
      <c r="I539" s="2">
        <f t="shared" si="200"/>
        <v>4470494.7</v>
      </c>
      <c r="J539" s="2">
        <f t="shared" ref="J539" si="201">SUM(J540:J542)</f>
        <v>4698011.3899999997</v>
      </c>
      <c r="K539" s="49" t="s">
        <v>320</v>
      </c>
    </row>
    <row r="540" spans="1:16" ht="45.75" customHeight="1" x14ac:dyDescent="0.25">
      <c r="A540" s="49"/>
      <c r="B540" s="50"/>
      <c r="C540" s="48"/>
      <c r="D540" s="48"/>
      <c r="E540" s="44" t="s">
        <v>7</v>
      </c>
      <c r="F540" s="47" t="s">
        <v>8</v>
      </c>
      <c r="G540" s="2">
        <v>0</v>
      </c>
      <c r="H540" s="2">
        <v>0</v>
      </c>
      <c r="I540" s="2">
        <v>0</v>
      </c>
      <c r="J540" s="2">
        <v>0</v>
      </c>
      <c r="K540" s="49"/>
    </row>
    <row r="541" spans="1:16" ht="45.75" customHeight="1" x14ac:dyDescent="0.25">
      <c r="A541" s="49"/>
      <c r="B541" s="50"/>
      <c r="C541" s="48"/>
      <c r="D541" s="48"/>
      <c r="E541" s="44" t="s">
        <v>9</v>
      </c>
      <c r="F541" s="47" t="s">
        <v>8</v>
      </c>
      <c r="G541" s="2">
        <v>0</v>
      </c>
      <c r="H541" s="2">
        <v>4251659.95</v>
      </c>
      <c r="I541" s="2">
        <v>4470494.7</v>
      </c>
      <c r="J541" s="2">
        <v>4698011.3899999997</v>
      </c>
      <c r="K541" s="49"/>
    </row>
    <row r="542" spans="1:16" ht="45.75" customHeight="1" x14ac:dyDescent="0.25">
      <c r="A542" s="49"/>
      <c r="B542" s="50"/>
      <c r="C542" s="48"/>
      <c r="D542" s="48"/>
      <c r="E542" s="44" t="s">
        <v>10</v>
      </c>
      <c r="F542" s="47" t="s">
        <v>8</v>
      </c>
      <c r="G542" s="2">
        <v>0</v>
      </c>
      <c r="H542" s="2">
        <v>0</v>
      </c>
      <c r="I542" s="2">
        <v>0</v>
      </c>
      <c r="J542" s="2">
        <v>0</v>
      </c>
      <c r="K542" s="49"/>
    </row>
    <row r="543" spans="1:16" ht="24.75" customHeight="1" x14ac:dyDescent="0.25">
      <c r="A543" s="49" t="s">
        <v>33</v>
      </c>
      <c r="B543" s="50" t="s">
        <v>54</v>
      </c>
      <c r="C543" s="48">
        <v>45292</v>
      </c>
      <c r="D543" s="48">
        <v>46752</v>
      </c>
      <c r="E543" s="44" t="s">
        <v>5</v>
      </c>
      <c r="F543" s="47" t="s">
        <v>113</v>
      </c>
      <c r="G543" s="2">
        <f>SUM(G544:G546)</f>
        <v>2173453.27</v>
      </c>
      <c r="H543" s="2">
        <f t="shared" ref="H543:I543" si="202">SUM(H544:H546)</f>
        <v>186996.8</v>
      </c>
      <c r="I543" s="2">
        <f t="shared" si="202"/>
        <v>400088.1</v>
      </c>
      <c r="J543" s="2">
        <f t="shared" ref="J543" si="203">SUM(J544:J546)</f>
        <v>416091.6</v>
      </c>
      <c r="K543" s="49" t="s">
        <v>81</v>
      </c>
    </row>
    <row r="544" spans="1:16" ht="24.75" customHeight="1" x14ac:dyDescent="0.25">
      <c r="A544" s="49"/>
      <c r="B544" s="50"/>
      <c r="C544" s="48"/>
      <c r="D544" s="48"/>
      <c r="E544" s="44" t="s">
        <v>7</v>
      </c>
      <c r="F544" s="47" t="s">
        <v>8</v>
      </c>
      <c r="G544" s="2">
        <v>0</v>
      </c>
      <c r="H544" s="2">
        <v>0</v>
      </c>
      <c r="I544" s="2">
        <v>0</v>
      </c>
      <c r="J544" s="2">
        <v>0</v>
      </c>
      <c r="K544" s="49"/>
    </row>
    <row r="545" spans="1:16" ht="24.75" customHeight="1" x14ac:dyDescent="0.25">
      <c r="A545" s="49"/>
      <c r="B545" s="50"/>
      <c r="C545" s="48"/>
      <c r="D545" s="48"/>
      <c r="E545" s="44" t="s">
        <v>9</v>
      </c>
      <c r="F545" s="47" t="s">
        <v>8</v>
      </c>
      <c r="G545" s="2">
        <f>1951158.1+117295.17+105000</f>
        <v>2173453.27</v>
      </c>
      <c r="H545" s="2">
        <v>186996.8</v>
      </c>
      <c r="I545" s="2">
        <v>400088.1</v>
      </c>
      <c r="J545" s="2">
        <v>416091.6</v>
      </c>
      <c r="K545" s="49"/>
    </row>
    <row r="546" spans="1:16" ht="24.75" customHeight="1" x14ac:dyDescent="0.25">
      <c r="A546" s="49"/>
      <c r="B546" s="50"/>
      <c r="C546" s="48"/>
      <c r="D546" s="48"/>
      <c r="E546" s="44" t="s">
        <v>10</v>
      </c>
      <c r="F546" s="47" t="s">
        <v>8</v>
      </c>
      <c r="G546" s="2">
        <v>0</v>
      </c>
      <c r="H546" s="2">
        <v>0</v>
      </c>
      <c r="I546" s="2">
        <v>0</v>
      </c>
      <c r="J546" s="2">
        <v>0</v>
      </c>
      <c r="K546" s="49"/>
    </row>
    <row r="547" spans="1:16" ht="15" customHeight="1" x14ac:dyDescent="0.25">
      <c r="A547" s="53" t="s">
        <v>57</v>
      </c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P547" s="4"/>
    </row>
    <row r="548" spans="1:16" ht="15.75" customHeight="1" x14ac:dyDescent="0.25">
      <c r="A548" s="49" t="s">
        <v>24</v>
      </c>
      <c r="B548" s="50" t="s">
        <v>58</v>
      </c>
      <c r="C548" s="48">
        <v>45292</v>
      </c>
      <c r="D548" s="51">
        <v>46752</v>
      </c>
      <c r="E548" s="44" t="s">
        <v>5</v>
      </c>
      <c r="F548" s="35" t="s">
        <v>59</v>
      </c>
      <c r="G548" s="2">
        <f>SUM(G549:G551)</f>
        <v>48046408.969999999</v>
      </c>
      <c r="H548" s="2">
        <f t="shared" ref="H548:J548" si="204">SUM(H549:H551)</f>
        <v>57303296.009999998</v>
      </c>
      <c r="I548" s="2">
        <f t="shared" si="204"/>
        <v>53493659</v>
      </c>
      <c r="J548" s="2">
        <f t="shared" si="204"/>
        <v>55500840</v>
      </c>
      <c r="K548" s="49" t="s">
        <v>60</v>
      </c>
    </row>
    <row r="549" spans="1:16" ht="24.75" customHeight="1" x14ac:dyDescent="0.25">
      <c r="A549" s="49"/>
      <c r="B549" s="50"/>
      <c r="C549" s="48"/>
      <c r="D549" s="51"/>
      <c r="E549" s="44" t="s">
        <v>7</v>
      </c>
      <c r="F549" s="35" t="s">
        <v>8</v>
      </c>
      <c r="G549" s="2">
        <v>0</v>
      </c>
      <c r="H549" s="2">
        <v>0</v>
      </c>
      <c r="I549" s="2">
        <v>0</v>
      </c>
      <c r="J549" s="2">
        <v>0</v>
      </c>
      <c r="K549" s="49"/>
    </row>
    <row r="550" spans="1:16" ht="24.75" customHeight="1" x14ac:dyDescent="0.25">
      <c r="A550" s="49"/>
      <c r="B550" s="50"/>
      <c r="C550" s="48"/>
      <c r="D550" s="51"/>
      <c r="E550" s="24" t="s">
        <v>9</v>
      </c>
      <c r="F550" s="35" t="s">
        <v>8</v>
      </c>
      <c r="G550" s="25">
        <v>0</v>
      </c>
      <c r="H550" s="25">
        <v>0</v>
      </c>
      <c r="I550" s="25">
        <v>0</v>
      </c>
      <c r="J550" s="25">
        <v>0</v>
      </c>
      <c r="K550" s="49"/>
    </row>
    <row r="551" spans="1:16" ht="30" customHeight="1" x14ac:dyDescent="0.25">
      <c r="A551" s="49"/>
      <c r="B551" s="50"/>
      <c r="C551" s="48"/>
      <c r="D551" s="51"/>
      <c r="E551" s="36" t="s">
        <v>206</v>
      </c>
      <c r="F551" s="37" t="s">
        <v>8</v>
      </c>
      <c r="G551" s="25">
        <f>38148200+3000000+6052300+845908.97</f>
        <v>48046408.969999999</v>
      </c>
      <c r="H551" s="25">
        <f>51517270+3893791.01+1892235</f>
        <v>57303296.009999998</v>
      </c>
      <c r="I551" s="25">
        <v>53493659</v>
      </c>
      <c r="J551" s="38">
        <v>55500840</v>
      </c>
      <c r="K551" s="52"/>
    </row>
    <row r="552" spans="1:16" ht="57" customHeight="1" x14ac:dyDescent="0.25">
      <c r="A552" s="49"/>
      <c r="B552" s="50"/>
      <c r="C552" s="48"/>
      <c r="D552" s="51"/>
      <c r="E552" s="26" t="s">
        <v>205</v>
      </c>
      <c r="F552" s="37" t="s">
        <v>8</v>
      </c>
      <c r="G552" s="27">
        <v>0</v>
      </c>
      <c r="H552" s="27">
        <v>3893791.01</v>
      </c>
      <c r="I552" s="27">
        <v>0</v>
      </c>
      <c r="J552" s="27">
        <v>0</v>
      </c>
      <c r="K552" s="52"/>
    </row>
    <row r="553" spans="1:16" ht="15" customHeight="1" x14ac:dyDescent="0.25">
      <c r="A553" s="53" t="s">
        <v>61</v>
      </c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19"/>
    </row>
    <row r="554" spans="1:16" ht="29.25" customHeight="1" x14ac:dyDescent="0.25">
      <c r="A554" s="49" t="s">
        <v>62</v>
      </c>
      <c r="B554" s="50" t="s">
        <v>58</v>
      </c>
      <c r="C554" s="48">
        <v>45292</v>
      </c>
      <c r="D554" s="48">
        <v>46752</v>
      </c>
      <c r="E554" s="44" t="s">
        <v>5</v>
      </c>
      <c r="F554" s="47" t="s">
        <v>63</v>
      </c>
      <c r="G554" s="2">
        <f>SUM(G555:G557)</f>
        <v>40000</v>
      </c>
      <c r="H554" s="2">
        <f t="shared" ref="H554:I554" si="205">SUM(H555:H557)</f>
        <v>50000</v>
      </c>
      <c r="I554" s="2">
        <f t="shared" si="205"/>
        <v>50000</v>
      </c>
      <c r="J554" s="2">
        <f t="shared" ref="J554" si="206">SUM(J555:J557)</f>
        <v>50000</v>
      </c>
      <c r="K554" s="49" t="s">
        <v>64</v>
      </c>
    </row>
    <row r="555" spans="1:16" ht="24.75" customHeight="1" x14ac:dyDescent="0.25">
      <c r="A555" s="49"/>
      <c r="B555" s="50"/>
      <c r="C555" s="48"/>
      <c r="D555" s="48"/>
      <c r="E555" s="44" t="s">
        <v>7</v>
      </c>
      <c r="F555" s="47" t="s">
        <v>8</v>
      </c>
      <c r="G555" s="2">
        <v>0</v>
      </c>
      <c r="H555" s="2">
        <v>0</v>
      </c>
      <c r="I555" s="2">
        <v>0</v>
      </c>
      <c r="J555" s="2">
        <v>0</v>
      </c>
      <c r="K555" s="49"/>
    </row>
    <row r="556" spans="1:16" ht="24.75" customHeight="1" x14ac:dyDescent="0.25">
      <c r="A556" s="49"/>
      <c r="B556" s="50"/>
      <c r="C556" s="48"/>
      <c r="D556" s="48"/>
      <c r="E556" s="44" t="s">
        <v>9</v>
      </c>
      <c r="F556" s="47" t="s">
        <v>8</v>
      </c>
      <c r="G556" s="2">
        <v>0</v>
      </c>
      <c r="H556" s="2">
        <v>0</v>
      </c>
      <c r="I556" s="2">
        <v>0</v>
      </c>
      <c r="J556" s="2">
        <v>0</v>
      </c>
      <c r="K556" s="49"/>
    </row>
    <row r="557" spans="1:16" ht="24.75" customHeight="1" x14ac:dyDescent="0.25">
      <c r="A557" s="49"/>
      <c r="B557" s="50"/>
      <c r="C557" s="48"/>
      <c r="D557" s="48"/>
      <c r="E557" s="44" t="s">
        <v>10</v>
      </c>
      <c r="F557" s="47" t="s">
        <v>8</v>
      </c>
      <c r="G557" s="2">
        <f>50000-10000</f>
        <v>40000</v>
      </c>
      <c r="H557" s="2">
        <v>50000</v>
      </c>
      <c r="I557" s="2">
        <v>50000</v>
      </c>
      <c r="J557" s="2">
        <v>50000</v>
      </c>
      <c r="K557" s="49"/>
      <c r="P557" s="4"/>
    </row>
    <row r="558" spans="1:16" ht="23.25" customHeight="1" x14ac:dyDescent="0.25">
      <c r="A558" s="49" t="s">
        <v>325</v>
      </c>
      <c r="B558" s="50" t="s">
        <v>58</v>
      </c>
      <c r="C558" s="48">
        <v>45292</v>
      </c>
      <c r="D558" s="48">
        <v>46752</v>
      </c>
      <c r="E558" s="44" t="s">
        <v>5</v>
      </c>
      <c r="F558" s="47" t="s">
        <v>340</v>
      </c>
      <c r="G558" s="2">
        <f>SUM(G559:G561)</f>
        <v>59914.5</v>
      </c>
      <c r="H558" s="2">
        <f t="shared" ref="H558:J558" si="207">SUM(H559:H561)</f>
        <v>80000</v>
      </c>
      <c r="I558" s="2">
        <f t="shared" si="207"/>
        <v>80000</v>
      </c>
      <c r="J558" s="2">
        <f t="shared" si="207"/>
        <v>80000</v>
      </c>
      <c r="K558" s="49" t="s">
        <v>68</v>
      </c>
    </row>
    <row r="559" spans="1:16" ht="24.75" customHeight="1" x14ac:dyDescent="0.25">
      <c r="A559" s="49"/>
      <c r="B559" s="50"/>
      <c r="C559" s="48"/>
      <c r="D559" s="48"/>
      <c r="E559" s="44" t="s">
        <v>7</v>
      </c>
      <c r="F559" s="47" t="s">
        <v>8</v>
      </c>
      <c r="G559" s="2">
        <v>0</v>
      </c>
      <c r="H559" s="2">
        <v>0</v>
      </c>
      <c r="I559" s="2">
        <v>0</v>
      </c>
      <c r="J559" s="2">
        <v>0</v>
      </c>
      <c r="K559" s="49"/>
    </row>
    <row r="560" spans="1:16" ht="24.75" customHeight="1" x14ac:dyDescent="0.25">
      <c r="A560" s="49"/>
      <c r="B560" s="50"/>
      <c r="C560" s="48"/>
      <c r="D560" s="48"/>
      <c r="E560" s="44" t="s">
        <v>9</v>
      </c>
      <c r="F560" s="47" t="s">
        <v>8</v>
      </c>
      <c r="G560" s="2">
        <v>0</v>
      </c>
      <c r="H560" s="2">
        <v>0</v>
      </c>
      <c r="I560" s="2">
        <v>0</v>
      </c>
      <c r="J560" s="2">
        <v>0</v>
      </c>
      <c r="K560" s="49"/>
    </row>
    <row r="561" spans="1:16" ht="24.75" customHeight="1" x14ac:dyDescent="0.25">
      <c r="A561" s="49"/>
      <c r="B561" s="50"/>
      <c r="C561" s="48"/>
      <c r="D561" s="48"/>
      <c r="E561" s="44" t="s">
        <v>10</v>
      </c>
      <c r="F561" s="47" t="s">
        <v>8</v>
      </c>
      <c r="G561" s="2">
        <f>60000-85.5</f>
        <v>59914.5</v>
      </c>
      <c r="H561" s="2">
        <v>80000</v>
      </c>
      <c r="I561" s="2">
        <v>80000</v>
      </c>
      <c r="J561" s="2">
        <v>80000</v>
      </c>
      <c r="K561" s="49"/>
    </row>
    <row r="562" spans="1:16" ht="15" customHeight="1" x14ac:dyDescent="0.25">
      <c r="A562" s="53" t="s">
        <v>65</v>
      </c>
      <c r="B562" s="53"/>
      <c r="C562" s="53"/>
      <c r="D562" s="53"/>
      <c r="E562" s="53"/>
      <c r="F562" s="53"/>
      <c r="G562" s="53"/>
      <c r="H562" s="53"/>
      <c r="I562" s="53"/>
      <c r="J562" s="53"/>
      <c r="K562" s="53"/>
    </row>
    <row r="563" spans="1:16" ht="27.75" customHeight="1" x14ac:dyDescent="0.25">
      <c r="A563" s="49" t="s">
        <v>66</v>
      </c>
      <c r="B563" s="50" t="s">
        <v>149</v>
      </c>
      <c r="C563" s="48">
        <v>45292</v>
      </c>
      <c r="D563" s="48">
        <v>46752</v>
      </c>
      <c r="E563" s="44" t="s">
        <v>5</v>
      </c>
      <c r="F563" s="47" t="s">
        <v>124</v>
      </c>
      <c r="G563" s="2">
        <f>SUM(G564:G566)</f>
        <v>2640862.9</v>
      </c>
      <c r="H563" s="2">
        <f t="shared" ref="H563:I563" si="208">SUM(H564:H566)</f>
        <v>500000</v>
      </c>
      <c r="I563" s="2">
        <f t="shared" si="208"/>
        <v>500000</v>
      </c>
      <c r="J563" s="2">
        <f t="shared" ref="J563" si="209">SUM(J564:J566)</f>
        <v>500000</v>
      </c>
      <c r="K563" s="49" t="s">
        <v>67</v>
      </c>
    </row>
    <row r="564" spans="1:16" ht="24.75" customHeight="1" x14ac:dyDescent="0.25">
      <c r="A564" s="49"/>
      <c r="B564" s="50"/>
      <c r="C564" s="48"/>
      <c r="D564" s="48"/>
      <c r="E564" s="44" t="s">
        <v>7</v>
      </c>
      <c r="F564" s="47" t="s">
        <v>8</v>
      </c>
      <c r="G564" s="2">
        <v>0</v>
      </c>
      <c r="H564" s="2">
        <v>0</v>
      </c>
      <c r="I564" s="2">
        <v>0</v>
      </c>
      <c r="J564" s="2">
        <v>0</v>
      </c>
      <c r="K564" s="49"/>
    </row>
    <row r="565" spans="1:16" ht="24.75" customHeight="1" x14ac:dyDescent="0.25">
      <c r="A565" s="49"/>
      <c r="B565" s="50"/>
      <c r="C565" s="48"/>
      <c r="D565" s="48"/>
      <c r="E565" s="44" t="s">
        <v>9</v>
      </c>
      <c r="F565" s="47" t="s">
        <v>8</v>
      </c>
      <c r="G565" s="2">
        <v>0</v>
      </c>
      <c r="H565" s="2">
        <v>0</v>
      </c>
      <c r="I565" s="2">
        <v>0</v>
      </c>
      <c r="J565" s="2">
        <v>0</v>
      </c>
      <c r="K565" s="49"/>
    </row>
    <row r="566" spans="1:16" ht="24.75" customHeight="1" x14ac:dyDescent="0.25">
      <c r="A566" s="49"/>
      <c r="B566" s="50"/>
      <c r="C566" s="48"/>
      <c r="D566" s="48"/>
      <c r="E566" s="44" t="s">
        <v>10</v>
      </c>
      <c r="F566" s="47" t="s">
        <v>8</v>
      </c>
      <c r="G566" s="2">
        <f>500000+1000000-175510.08-183627.02+1500000</f>
        <v>2640862.9</v>
      </c>
      <c r="H566" s="2">
        <v>500000</v>
      </c>
      <c r="I566" s="2">
        <v>500000</v>
      </c>
      <c r="J566" s="2">
        <v>500000</v>
      </c>
      <c r="K566" s="49"/>
      <c r="P566" s="4"/>
    </row>
    <row r="567" spans="1:16" ht="27" customHeight="1" x14ac:dyDescent="0.25">
      <c r="A567" s="53" t="s">
        <v>69</v>
      </c>
      <c r="B567" s="53"/>
      <c r="C567" s="53"/>
      <c r="D567" s="53"/>
      <c r="E567" s="53"/>
      <c r="F567" s="53"/>
      <c r="G567" s="53"/>
      <c r="H567" s="53"/>
      <c r="I567" s="53"/>
      <c r="J567" s="53"/>
      <c r="K567" s="53"/>
    </row>
    <row r="568" spans="1:16" ht="26.25" customHeight="1" x14ac:dyDescent="0.25">
      <c r="A568" s="49" t="s">
        <v>70</v>
      </c>
      <c r="B568" s="50" t="s">
        <v>20</v>
      </c>
      <c r="C568" s="48">
        <v>45292</v>
      </c>
      <c r="D568" s="48">
        <v>46752</v>
      </c>
      <c r="E568" s="44" t="s">
        <v>5</v>
      </c>
      <c r="F568" s="47" t="s">
        <v>71</v>
      </c>
      <c r="G568" s="2">
        <f>SUM(G569:G571)</f>
        <v>62289.8</v>
      </c>
      <c r="H568" s="2">
        <f t="shared" ref="H568:I568" si="210">SUM(H569:H571)</f>
        <v>88735</v>
      </c>
      <c r="I568" s="2">
        <f t="shared" si="210"/>
        <v>80000</v>
      </c>
      <c r="J568" s="2">
        <f t="shared" ref="J568" si="211">SUM(J569:J571)</f>
        <v>80000</v>
      </c>
      <c r="K568" s="49" t="s">
        <v>72</v>
      </c>
    </row>
    <row r="569" spans="1:16" ht="24.75" customHeight="1" x14ac:dyDescent="0.25">
      <c r="A569" s="49"/>
      <c r="B569" s="50"/>
      <c r="C569" s="48"/>
      <c r="D569" s="48"/>
      <c r="E569" s="44" t="s">
        <v>7</v>
      </c>
      <c r="F569" s="47" t="s">
        <v>8</v>
      </c>
      <c r="G569" s="2">
        <v>0</v>
      </c>
      <c r="H569" s="2">
        <v>0</v>
      </c>
      <c r="I569" s="2">
        <v>0</v>
      </c>
      <c r="J569" s="2">
        <v>0</v>
      </c>
      <c r="K569" s="49"/>
    </row>
    <row r="570" spans="1:16" ht="24.75" customHeight="1" x14ac:dyDescent="0.25">
      <c r="A570" s="49"/>
      <c r="B570" s="50"/>
      <c r="C570" s="48"/>
      <c r="D570" s="48"/>
      <c r="E570" s="44" t="s">
        <v>9</v>
      </c>
      <c r="F570" s="47" t="s">
        <v>8</v>
      </c>
      <c r="G570" s="2">
        <v>0</v>
      </c>
      <c r="H570" s="2">
        <v>0</v>
      </c>
      <c r="I570" s="2">
        <v>0</v>
      </c>
      <c r="J570" s="2">
        <v>0</v>
      </c>
      <c r="K570" s="49"/>
    </row>
    <row r="571" spans="1:16" ht="24.75" customHeight="1" x14ac:dyDescent="0.25">
      <c r="A571" s="49"/>
      <c r="B571" s="50"/>
      <c r="C571" s="48"/>
      <c r="D571" s="48"/>
      <c r="E571" s="44" t="s">
        <v>10</v>
      </c>
      <c r="F571" s="47" t="s">
        <v>8</v>
      </c>
      <c r="G571" s="2">
        <f>80000-17710.2</f>
        <v>62289.8</v>
      </c>
      <c r="H571" s="2">
        <f>80000+8735</f>
        <v>88735</v>
      </c>
      <c r="I571" s="2">
        <v>80000</v>
      </c>
      <c r="J571" s="2">
        <v>80000</v>
      </c>
      <c r="K571" s="49"/>
      <c r="L571" s="21"/>
      <c r="M571" s="20"/>
      <c r="N571" s="20"/>
      <c r="O571" s="20"/>
      <c r="P571" s="20"/>
    </row>
    <row r="572" spans="1:16" ht="39" customHeight="1" x14ac:dyDescent="0.25">
      <c r="A572" s="49" t="s">
        <v>326</v>
      </c>
      <c r="B572" s="50" t="s">
        <v>20</v>
      </c>
      <c r="C572" s="48">
        <v>45292</v>
      </c>
      <c r="D572" s="48">
        <v>46752</v>
      </c>
      <c r="E572" s="44" t="s">
        <v>5</v>
      </c>
      <c r="F572" s="47" t="s">
        <v>73</v>
      </c>
      <c r="G572" s="2">
        <f>SUM(G573:G575)</f>
        <v>27624</v>
      </c>
      <c r="H572" s="2">
        <f t="shared" ref="H572:I572" si="212">SUM(H573:H575)</f>
        <v>131856</v>
      </c>
      <c r="I572" s="2">
        <f t="shared" si="212"/>
        <v>137130</v>
      </c>
      <c r="J572" s="2">
        <f t="shared" ref="J572" si="213">SUM(J573:J575)</f>
        <v>142615</v>
      </c>
      <c r="K572" s="49" t="s">
        <v>327</v>
      </c>
    </row>
    <row r="573" spans="1:16" ht="39" customHeight="1" x14ac:dyDescent="0.25">
      <c r="A573" s="49"/>
      <c r="B573" s="50"/>
      <c r="C573" s="48"/>
      <c r="D573" s="48"/>
      <c r="E573" s="44" t="s">
        <v>7</v>
      </c>
      <c r="F573" s="47" t="s">
        <v>8</v>
      </c>
      <c r="G573" s="2">
        <v>0</v>
      </c>
      <c r="H573" s="2">
        <v>0</v>
      </c>
      <c r="I573" s="2">
        <v>0</v>
      </c>
      <c r="J573" s="2">
        <v>0</v>
      </c>
      <c r="K573" s="49"/>
    </row>
    <row r="574" spans="1:16" ht="39" customHeight="1" x14ac:dyDescent="0.25">
      <c r="A574" s="49"/>
      <c r="B574" s="50"/>
      <c r="C574" s="48"/>
      <c r="D574" s="48"/>
      <c r="E574" s="44" t="s">
        <v>9</v>
      </c>
      <c r="F574" s="47" t="s">
        <v>8</v>
      </c>
      <c r="G574" s="2">
        <v>0</v>
      </c>
      <c r="H574" s="2">
        <v>0</v>
      </c>
      <c r="I574" s="2">
        <v>0</v>
      </c>
      <c r="J574" s="2">
        <v>0</v>
      </c>
      <c r="K574" s="49"/>
    </row>
    <row r="575" spans="1:16" ht="39" customHeight="1" x14ac:dyDescent="0.25">
      <c r="A575" s="49"/>
      <c r="B575" s="50"/>
      <c r="C575" s="48"/>
      <c r="D575" s="48"/>
      <c r="E575" s="44" t="s">
        <v>10</v>
      </c>
      <c r="F575" s="47" t="s">
        <v>8</v>
      </c>
      <c r="G575" s="2">
        <f>50000-22376</f>
        <v>27624</v>
      </c>
      <c r="H575" s="2">
        <v>131856</v>
      </c>
      <c r="I575" s="2">
        <v>137130</v>
      </c>
      <c r="J575" s="2">
        <v>142615</v>
      </c>
      <c r="K575" s="49"/>
      <c r="L575" s="19"/>
    </row>
    <row r="576" spans="1:16" ht="27" customHeight="1" x14ac:dyDescent="0.25">
      <c r="A576" s="49" t="s">
        <v>74</v>
      </c>
      <c r="B576" s="50" t="s">
        <v>20</v>
      </c>
      <c r="C576" s="48">
        <v>45292</v>
      </c>
      <c r="D576" s="48">
        <v>46752</v>
      </c>
      <c r="E576" s="44" t="s">
        <v>5</v>
      </c>
      <c r="F576" s="47" t="s">
        <v>75</v>
      </c>
      <c r="G576" s="2">
        <f>SUM(G577:G579)</f>
        <v>31314</v>
      </c>
      <c r="H576" s="2">
        <f t="shared" ref="H576:I576" si="214">SUM(H577:H579)</f>
        <v>57265</v>
      </c>
      <c r="I576" s="2">
        <f t="shared" si="214"/>
        <v>66000</v>
      </c>
      <c r="J576" s="2">
        <f t="shared" ref="J576" si="215">SUM(J577:J579)</f>
        <v>66000</v>
      </c>
      <c r="K576" s="49" t="s">
        <v>76</v>
      </c>
    </row>
    <row r="577" spans="1:17" ht="29.25" customHeight="1" x14ac:dyDescent="0.25">
      <c r="A577" s="49"/>
      <c r="B577" s="50"/>
      <c r="C577" s="48"/>
      <c r="D577" s="48"/>
      <c r="E577" s="44" t="s">
        <v>7</v>
      </c>
      <c r="F577" s="47" t="s">
        <v>8</v>
      </c>
      <c r="G577" s="2">
        <v>0</v>
      </c>
      <c r="H577" s="2">
        <v>0</v>
      </c>
      <c r="I577" s="2">
        <v>0</v>
      </c>
      <c r="J577" s="2">
        <v>0</v>
      </c>
      <c r="K577" s="49"/>
    </row>
    <row r="578" spans="1:17" ht="29.25" customHeight="1" x14ac:dyDescent="0.25">
      <c r="A578" s="49"/>
      <c r="B578" s="50"/>
      <c r="C578" s="48"/>
      <c r="D578" s="48"/>
      <c r="E578" s="44" t="s">
        <v>9</v>
      </c>
      <c r="F578" s="47" t="s">
        <v>8</v>
      </c>
      <c r="G578" s="2">
        <v>0</v>
      </c>
      <c r="H578" s="2">
        <v>0</v>
      </c>
      <c r="I578" s="2">
        <v>0</v>
      </c>
      <c r="J578" s="2">
        <v>0</v>
      </c>
      <c r="K578" s="49"/>
    </row>
    <row r="579" spans="1:17" ht="23.25" customHeight="1" x14ac:dyDescent="0.25">
      <c r="A579" s="49"/>
      <c r="B579" s="50"/>
      <c r="C579" s="48"/>
      <c r="D579" s="48"/>
      <c r="E579" s="44" t="s">
        <v>10</v>
      </c>
      <c r="F579" s="47" t="s">
        <v>8</v>
      </c>
      <c r="G579" s="2">
        <f>60000-28686</f>
        <v>31314</v>
      </c>
      <c r="H579" s="2">
        <f>66000-8735</f>
        <v>57265</v>
      </c>
      <c r="I579" s="2">
        <v>66000</v>
      </c>
      <c r="J579" s="2">
        <v>66000</v>
      </c>
      <c r="K579" s="49"/>
    </row>
    <row r="580" spans="1:17" ht="23.25" customHeight="1" x14ac:dyDescent="0.25">
      <c r="A580" s="53" t="s">
        <v>226</v>
      </c>
      <c r="B580" s="53"/>
      <c r="C580" s="53"/>
      <c r="D580" s="53"/>
      <c r="E580" s="53"/>
      <c r="F580" s="53"/>
      <c r="G580" s="53"/>
      <c r="H580" s="53"/>
      <c r="I580" s="53"/>
      <c r="J580" s="53"/>
      <c r="K580" s="53"/>
    </row>
    <row r="581" spans="1:17" ht="23.25" customHeight="1" x14ac:dyDescent="0.25">
      <c r="A581" s="49" t="s">
        <v>227</v>
      </c>
      <c r="B581" s="50" t="s">
        <v>20</v>
      </c>
      <c r="C581" s="48">
        <v>45292</v>
      </c>
      <c r="D581" s="48">
        <v>46022</v>
      </c>
      <c r="E581" s="44" t="s">
        <v>5</v>
      </c>
      <c r="F581" s="47" t="s">
        <v>228</v>
      </c>
      <c r="G581" s="2">
        <f>SUM(G582:G584)</f>
        <v>67650</v>
      </c>
      <c r="H581" s="2">
        <f t="shared" ref="H581:J581" si="216">SUM(H582:H584)</f>
        <v>2200</v>
      </c>
      <c r="I581" s="2">
        <f t="shared" ref="I581" si="217">SUM(I582:I584)</f>
        <v>0</v>
      </c>
      <c r="J581" s="2">
        <f t="shared" si="216"/>
        <v>0</v>
      </c>
      <c r="K581" s="49" t="s">
        <v>328</v>
      </c>
    </row>
    <row r="582" spans="1:17" ht="23.25" customHeight="1" x14ac:dyDescent="0.25">
      <c r="A582" s="49"/>
      <c r="B582" s="50"/>
      <c r="C582" s="48"/>
      <c r="D582" s="48"/>
      <c r="E582" s="44" t="s">
        <v>7</v>
      </c>
      <c r="F582" s="47" t="s">
        <v>8</v>
      </c>
      <c r="G582" s="2">
        <v>0</v>
      </c>
      <c r="H582" s="2">
        <v>0</v>
      </c>
      <c r="I582" s="2">
        <v>0</v>
      </c>
      <c r="J582" s="2">
        <v>0</v>
      </c>
      <c r="K582" s="49"/>
    </row>
    <row r="583" spans="1:17" ht="23.25" customHeight="1" x14ac:dyDescent="0.25">
      <c r="A583" s="49"/>
      <c r="B583" s="50"/>
      <c r="C583" s="48"/>
      <c r="D583" s="48"/>
      <c r="E583" s="44" t="s">
        <v>9</v>
      </c>
      <c r="F583" s="47" t="s">
        <v>8</v>
      </c>
      <c r="G583" s="2">
        <v>0</v>
      </c>
      <c r="H583" s="2">
        <v>0</v>
      </c>
      <c r="I583" s="2">
        <v>0</v>
      </c>
      <c r="J583" s="2">
        <v>0</v>
      </c>
      <c r="K583" s="49"/>
    </row>
    <row r="584" spans="1:17" ht="23.25" customHeight="1" x14ac:dyDescent="0.25">
      <c r="A584" s="49"/>
      <c r="B584" s="50"/>
      <c r="C584" s="48"/>
      <c r="D584" s="48"/>
      <c r="E584" s="44" t="s">
        <v>10</v>
      </c>
      <c r="F584" s="47" t="s">
        <v>8</v>
      </c>
      <c r="G584" s="2">
        <v>67650</v>
      </c>
      <c r="H584" s="2">
        <v>2200</v>
      </c>
      <c r="I584" s="2">
        <v>0</v>
      </c>
      <c r="J584" s="2">
        <v>0</v>
      </c>
      <c r="K584" s="49"/>
      <c r="P584" s="4"/>
    </row>
    <row r="585" spans="1:17" ht="23.25" customHeight="1" x14ac:dyDescent="0.25">
      <c r="A585" s="53" t="s">
        <v>313</v>
      </c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P585" s="4"/>
    </row>
    <row r="586" spans="1:17" ht="35.25" customHeight="1" x14ac:dyDescent="0.25">
      <c r="A586" s="54" t="s">
        <v>314</v>
      </c>
      <c r="B586" s="50" t="s">
        <v>315</v>
      </c>
      <c r="C586" s="48">
        <v>45658</v>
      </c>
      <c r="D586" s="48">
        <v>46752</v>
      </c>
      <c r="E586" s="44" t="s">
        <v>5</v>
      </c>
      <c r="F586" s="47" t="s">
        <v>316</v>
      </c>
      <c r="G586" s="2">
        <f t="shared" ref="G586:H586" si="218">SUM(G587:G589)</f>
        <v>0</v>
      </c>
      <c r="H586" s="2">
        <f t="shared" si="218"/>
        <v>20327469.43</v>
      </c>
      <c r="I586" s="2">
        <f t="shared" ref="I586:J586" si="219">SUM(I587:I589)</f>
        <v>16149884.52</v>
      </c>
      <c r="J586" s="2">
        <f t="shared" si="219"/>
        <v>17764872.969999999</v>
      </c>
      <c r="K586" s="54" t="s">
        <v>343</v>
      </c>
      <c r="P586" s="4"/>
    </row>
    <row r="587" spans="1:17" ht="35.25" customHeight="1" x14ac:dyDescent="0.25">
      <c r="A587" s="55"/>
      <c r="B587" s="50"/>
      <c r="C587" s="48"/>
      <c r="D587" s="48"/>
      <c r="E587" s="44" t="s">
        <v>7</v>
      </c>
      <c r="F587" s="47" t="s">
        <v>8</v>
      </c>
      <c r="G587" s="2">
        <v>0</v>
      </c>
      <c r="H587" s="2">
        <v>0</v>
      </c>
      <c r="I587" s="2">
        <v>0</v>
      </c>
      <c r="J587" s="2">
        <v>0</v>
      </c>
      <c r="K587" s="55"/>
      <c r="P587" s="4"/>
    </row>
    <row r="588" spans="1:17" ht="35.25" customHeight="1" x14ac:dyDescent="0.25">
      <c r="A588" s="55"/>
      <c r="B588" s="50"/>
      <c r="C588" s="48"/>
      <c r="D588" s="48"/>
      <c r="E588" s="44" t="s">
        <v>9</v>
      </c>
      <c r="F588" s="47" t="s">
        <v>8</v>
      </c>
      <c r="G588" s="2">
        <v>0</v>
      </c>
      <c r="H588" s="2">
        <f>13778787.84+263073.28+367215.5</f>
        <v>14409076.619999999</v>
      </c>
      <c r="I588" s="2">
        <v>15156666.619999999</v>
      </c>
      <c r="J588" s="2">
        <v>16672333.279999999</v>
      </c>
      <c r="K588" s="55"/>
      <c r="P588" s="4"/>
    </row>
    <row r="589" spans="1:17" ht="35.25" customHeight="1" x14ac:dyDescent="0.25">
      <c r="A589" s="56"/>
      <c r="B589" s="50"/>
      <c r="C589" s="48"/>
      <c r="D589" s="48"/>
      <c r="E589" s="44" t="s">
        <v>10</v>
      </c>
      <c r="F589" s="47" t="s">
        <v>8</v>
      </c>
      <c r="G589" s="2">
        <v>0</v>
      </c>
      <c r="H589" s="2">
        <f>902925.37+17239.22+4989600+8628.22</f>
        <v>5918392.8099999996</v>
      </c>
      <c r="I589" s="2">
        <v>993217.9</v>
      </c>
      <c r="J589" s="2">
        <v>1092539.69</v>
      </c>
      <c r="K589" s="56"/>
      <c r="P589" s="4"/>
      <c r="Q589" s="4"/>
    </row>
    <row r="590" spans="1:17" ht="14.25" customHeight="1" x14ac:dyDescent="0.25">
      <c r="A590" s="68" t="s">
        <v>77</v>
      </c>
      <c r="B590" s="53" t="s">
        <v>8</v>
      </c>
      <c r="C590" s="69" t="s">
        <v>8</v>
      </c>
      <c r="D590" s="69" t="s">
        <v>8</v>
      </c>
      <c r="E590" s="9" t="s">
        <v>5</v>
      </c>
      <c r="F590" s="46" t="s">
        <v>8</v>
      </c>
      <c r="G590" s="15">
        <f>G591+G592+G593+G595</f>
        <v>1698993927.7700005</v>
      </c>
      <c r="H590" s="15">
        <f>H591+H592+H593+H595</f>
        <v>2004241410.53</v>
      </c>
      <c r="I590" s="15">
        <f>I591+I592+I593+I595</f>
        <v>1936797298.9999995</v>
      </c>
      <c r="J590" s="15">
        <f t="shared" ref="J590" si="220">J591+J592+J593+J595</f>
        <v>2229998636.5099993</v>
      </c>
      <c r="K590" s="53" t="s">
        <v>8</v>
      </c>
    </row>
    <row r="591" spans="1:17" ht="24" customHeight="1" x14ac:dyDescent="0.25">
      <c r="A591" s="68"/>
      <c r="B591" s="53"/>
      <c r="C591" s="69"/>
      <c r="D591" s="69"/>
      <c r="E591" s="9" t="s">
        <v>7</v>
      </c>
      <c r="F591" s="46" t="s">
        <v>8</v>
      </c>
      <c r="G591" s="15">
        <f>G19+G24+G50+G55+G60+G100+G105+G109+G117+G181+G241+G261+G265+G270+G274+G278+G282+G286+G290+G294+G298+G302+G310+G314+G322+G326+G330+G334+G350+G354+G370+G374+G382+G426+G430+G442+G458+G462+G466+G470+G474+G478+G486+G495+G499+G507+G516+G524+G536+G544+G549+G555+G559+G564+G569+G573+G577+G209+G342+G338+G129+G113+G245+G221+G217+G213+G121+G125+G137+G141+G145+G153+G165+G169+G173+G249+G253+G257+G306+G318+G346+G446+G450+G454+G532+G490+G205+G177+G418+G414+G410+G406+G402+G398+G394+G390+G201+G582+G520+G189+G185+G157+G133+G482+G161+G587+G540+G528+G511+G503+G378+G366+G362+G358+G233+G229+G225+G197+G193+G149+G90+G86+G82+G77+G73+G69+G65+G44+G39+G34+G29+G434+G438+G95+G422+G237+G386</f>
        <v>78248601.909999996</v>
      </c>
      <c r="H591" s="15">
        <f t="shared" ref="H591:J592" si="221">H19+H24+H50+H55+H60+H100+H105+H109+H117+H181+H241+H261+H265+H270+H274+H278+H282+H286+H290+H294+H298+H302+H310+H314+H322+H326+H330+H334+H350+H354+H370+H374+H382+H426+H430+H442+H458+H462+H466+H470+H474+H478+H486+H495+H499+H507+H516+H524+H536+H544+H549+H555+H559+H564+H569+H573+H577+H209+H342+H338+H129+H113+H245+H221+H217+H213+H121+H125+H137+H141+H145+H153+H165+H169+H173+H249+H253+H257+H306+H318+H346+H446+H450+H454+H532+H490+H205+H177+H418+H414+H410+H406+H402+H398+H394+H390+H201+H582+H520+H189+H185+H157+H133+H482+H161+H587+H540+H528+H511+H503+H378+H366+H362+H358+H233+H229+H225+H197+H193+H149+H90+H86+H82+H77+H73+H69+H65+H44+H39+H34+H29+H434+H438+H95+H422+H237+H386</f>
        <v>75326931.86999999</v>
      </c>
      <c r="I591" s="15">
        <f t="shared" si="221"/>
        <v>72846451.269999996</v>
      </c>
      <c r="J591" s="15">
        <f t="shared" si="221"/>
        <v>153193059.28</v>
      </c>
      <c r="K591" s="53"/>
    </row>
    <row r="592" spans="1:17" ht="24" customHeight="1" x14ac:dyDescent="0.25">
      <c r="A592" s="68"/>
      <c r="B592" s="53"/>
      <c r="C592" s="69"/>
      <c r="D592" s="69"/>
      <c r="E592" s="28" t="s">
        <v>9</v>
      </c>
      <c r="F592" s="29" t="s">
        <v>8</v>
      </c>
      <c r="G592" s="15">
        <f>G20+G25+G51+G56+G61+G101+G106+G110+G118+G182+G242+G262+G266+G271+G275+G279+G283+G287+G291+G295+G299+G303+G311+G315+G323+G327+G331+G335+G351+G355+G371+G375+G383+G427+G431+G443+G459+G463+G467+G471+G475+G479+G487+G496+G500+G508+G517+G525+G537+G545+G550+G556+G560+G565+G570+G574+G578+G210+G343+G339+G130+G114+G246+G222+G218+G214+G122+G126+G138+G142+G146+G154+G166+G170+G174+G250+G254+G258+G307+G319+G347+G447+G451+G455+G533+G491+G206+G178+G419+G415+G411+G407+G403+G399+G395+G391+G202+G583+G521+G190+G186+G158+G134+G483+G162+G588+G541+G529+G512+G504+G379+G367+G363+G359+G234+G230+G226+G198+G194+G150+G91+G87+G83+G78+G74+G70+G66+G45+G40+G35+G30+G435+G439+G96+G423+G238+G387</f>
        <v>1143462746.5300002</v>
      </c>
      <c r="H592" s="15">
        <f t="shared" si="221"/>
        <v>1354462018.1599996</v>
      </c>
      <c r="I592" s="15">
        <f t="shared" si="221"/>
        <v>1351698671.6399996</v>
      </c>
      <c r="J592" s="15">
        <f t="shared" si="221"/>
        <v>1513853979.1899996</v>
      </c>
      <c r="K592" s="66"/>
      <c r="L592" s="39"/>
    </row>
    <row r="593" spans="1:17" ht="24" customHeight="1" x14ac:dyDescent="0.25">
      <c r="A593" s="68"/>
      <c r="B593" s="53"/>
      <c r="C593" s="69"/>
      <c r="D593" s="70"/>
      <c r="E593" s="28" t="s">
        <v>206</v>
      </c>
      <c r="F593" s="71" t="s">
        <v>8</v>
      </c>
      <c r="G593" s="30">
        <f>G21+G26+G52+G57+G62+G102+G107+G111+G119+G183+G243+G263+G267+G272+G276+G280+G284+G288+G292+G296+G300+G304+G312+G316+G324+G328+G332+G336+G352+G356+G372+G376+G384+G428+G432+G444+G460+G464+G468+G472+G476+G480+G488+G497+G501+G509+G518+G526+G538+G546+G551+G557+G561+G566+G571+G575+G579+G211+G344+G340+G131+G115+G247+G223+G219+G215+G123+G127+G139+G143+G147+G155+G167+G171+G175+G251+G255+G259+G308+G320+G348+G448+G452+G456+G534+G492+G207+G179+G420+G416+G412+G408+G404+G400+G396+G392+G203+G584+G522+G191+G187+G159+G135+G484+G163+G589+G542+G530+G513+G505+G380+G368+G364+G360+G235+G231+G227+G199+G195+G151+G92+G88+G84+G79+G75+G71+G67+G46+G41+G36+G31+G436+G440+G97+G424+G239+G388</f>
        <v>477005798.79000014</v>
      </c>
      <c r="H593" s="30">
        <f t="shared" ref="H593:J593" si="222">H21+H26+H52+H57+H62+H102+H107+H111+H119+H183+H243+H263+H267+H272+H276+H280+H284+H288+H292+H296+H300+H304+H312+H316+H324+H328+H332+H336+H352+H356+H372+H376+H384+H428+H432+H444+H460+H464+H468+H472+H476+H480+H488+H497+H501+H509+H518+H526+H538+H546+H551+H557+H561+H566+H571+H575+H579+H211+H344+H340+H131+H115+H247+H223+H219+H215+H123+H127+H139+H143+H147+H155+H167+H171+H175+H251+H255+H259+H308+H320+H348+H448+H452+H456+H534+H492+H207+H179+H420+H416+H412+H408+H404+H400+H396+H392+H203+H584+H522+H191+H187+H159+H135+H484+H163+H589+H542+H530+H513+H505+H380+H368+H364+H360+H235+H231+H227+H199+H195+H151+H92+H88+H84+H79+H75+H71+H67+H46+H41+H36+H31+H436+H440+H97+H424+H239+H388</f>
        <v>573104728.86000049</v>
      </c>
      <c r="I593" s="30">
        <f t="shared" si="222"/>
        <v>512252176.08999997</v>
      </c>
      <c r="J593" s="30">
        <f t="shared" si="222"/>
        <v>562951598.03999996</v>
      </c>
      <c r="K593" s="67"/>
      <c r="L593" s="16"/>
      <c r="M593" s="16"/>
      <c r="N593" s="16"/>
      <c r="O593" s="16"/>
    </row>
    <row r="594" spans="1:17" ht="48" customHeight="1" x14ac:dyDescent="0.25">
      <c r="A594" s="68"/>
      <c r="B594" s="53"/>
      <c r="C594" s="69"/>
      <c r="D594" s="70"/>
      <c r="E594" s="31" t="s">
        <v>205</v>
      </c>
      <c r="F594" s="72"/>
      <c r="G594" s="32">
        <f>G552+G103</f>
        <v>6076943.6500000004</v>
      </c>
      <c r="H594" s="32">
        <f>H552+H103</f>
        <v>3893791.01</v>
      </c>
      <c r="I594" s="32">
        <f>I552+I103</f>
        <v>0</v>
      </c>
      <c r="J594" s="32">
        <f>J552+J103</f>
        <v>0</v>
      </c>
      <c r="K594" s="67"/>
      <c r="L594" s="16"/>
      <c r="M594" s="16"/>
      <c r="N594" s="16"/>
      <c r="O594" s="16"/>
    </row>
    <row r="595" spans="1:17" ht="42.75" customHeight="1" x14ac:dyDescent="0.25">
      <c r="A595" s="68"/>
      <c r="B595" s="53"/>
      <c r="C595" s="69"/>
      <c r="D595" s="69"/>
      <c r="E595" s="9" t="s">
        <v>127</v>
      </c>
      <c r="F595" s="46" t="s">
        <v>8</v>
      </c>
      <c r="G595" s="15">
        <f>G22+G27+G514+G32+G37+G42+G47</f>
        <v>276780.53999999998</v>
      </c>
      <c r="H595" s="15">
        <f>H22+H27+H514+H32+H37+H42+H47</f>
        <v>1347731.64</v>
      </c>
      <c r="I595" s="15">
        <f>I22+I27+I514+I32+I37+I42+I47</f>
        <v>0</v>
      </c>
      <c r="J595" s="15">
        <f>J22+J27+J514+J32+J37+J42+J47</f>
        <v>0</v>
      </c>
      <c r="K595" s="53"/>
      <c r="L595" s="20"/>
      <c r="M595" s="20"/>
      <c r="N595" s="20"/>
      <c r="O595" s="20"/>
      <c r="P595" s="20"/>
    </row>
    <row r="596" spans="1:17" s="1" customFormat="1" ht="14.2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0"/>
      <c r="M596" s="20"/>
      <c r="N596" s="20"/>
      <c r="O596" s="20"/>
      <c r="P596" s="20"/>
    </row>
    <row r="597" spans="1:17" s="1" customFormat="1" ht="20.25" customHeight="1" x14ac:dyDescent="0.25">
      <c r="A597" s="11" t="s">
        <v>361</v>
      </c>
      <c r="B597" s="11"/>
      <c r="C597" s="11"/>
      <c r="D597" s="11"/>
      <c r="E597" s="11"/>
      <c r="F597" s="11"/>
      <c r="G597" s="22"/>
      <c r="H597" s="11"/>
      <c r="I597" s="11"/>
      <c r="J597" s="11"/>
      <c r="K597" s="11"/>
      <c r="L597" s="20"/>
      <c r="M597" s="20"/>
      <c r="N597" s="20"/>
      <c r="O597" s="20"/>
      <c r="P597" s="20"/>
    </row>
    <row r="598" spans="1:17" s="1" customFormat="1" ht="12.75" customHeight="1" x14ac:dyDescent="0.25">
      <c r="A598" s="11" t="s">
        <v>90</v>
      </c>
      <c r="B598" s="11"/>
      <c r="C598" s="11"/>
      <c r="D598" s="11"/>
      <c r="E598" s="11"/>
      <c r="F598" s="11"/>
      <c r="G598" s="22"/>
      <c r="H598" s="11"/>
      <c r="I598" s="11"/>
      <c r="J598" s="11"/>
      <c r="K598" s="11" t="s">
        <v>362</v>
      </c>
      <c r="L598" s="20"/>
      <c r="M598" s="20"/>
      <c r="N598" s="20"/>
      <c r="O598" s="20"/>
      <c r="P598" s="20"/>
    </row>
    <row r="599" spans="1:17" s="1" customFormat="1" ht="12.75" customHeight="1" x14ac:dyDescent="0.25">
      <c r="A599" s="11"/>
      <c r="B599" s="11"/>
      <c r="C599" s="11"/>
      <c r="D599" s="11"/>
      <c r="E599" s="11"/>
      <c r="F599" s="11"/>
      <c r="G599" s="22"/>
      <c r="H599" s="11"/>
      <c r="I599" s="11"/>
      <c r="J599" s="11"/>
      <c r="K599" s="11"/>
      <c r="L599" s="20"/>
      <c r="M599" s="20"/>
      <c r="N599" s="20"/>
      <c r="O599" s="20"/>
      <c r="P599" s="20"/>
    </row>
    <row r="600" spans="1:17" s="1" customFormat="1" ht="30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0"/>
      <c r="M600" s="20"/>
      <c r="N600" s="20"/>
      <c r="O600" s="20"/>
      <c r="P600" s="20"/>
    </row>
    <row r="601" spans="1:17" x14ac:dyDescent="0.25">
      <c r="F601" s="12"/>
      <c r="G601" s="12"/>
      <c r="H601" s="12"/>
      <c r="I601" s="12"/>
      <c r="J601" s="12"/>
      <c r="M601" s="16"/>
      <c r="N601" s="16"/>
      <c r="O601" s="16"/>
    </row>
    <row r="602" spans="1:17" x14ac:dyDescent="0.25">
      <c r="F602" s="12"/>
      <c r="G602" s="12"/>
      <c r="H602" s="12"/>
      <c r="I602" s="12"/>
      <c r="J602" s="12"/>
      <c r="M602" s="16"/>
      <c r="N602" s="16"/>
      <c r="O602" s="16"/>
    </row>
    <row r="603" spans="1:17" x14ac:dyDescent="0.25">
      <c r="F603" s="12"/>
      <c r="G603" s="12"/>
      <c r="H603" s="12"/>
      <c r="I603" s="12"/>
      <c r="J603" s="12"/>
      <c r="K603" s="33"/>
      <c r="P603" s="4"/>
    </row>
    <row r="604" spans="1:17" x14ac:dyDescent="0.25">
      <c r="F604" s="12"/>
      <c r="G604" s="12"/>
      <c r="H604" s="12"/>
      <c r="I604" s="12"/>
      <c r="J604" s="12"/>
      <c r="P604" s="4"/>
      <c r="Q604" s="4"/>
    </row>
    <row r="605" spans="1:17" x14ac:dyDescent="0.25">
      <c r="P605" s="4"/>
    </row>
    <row r="606" spans="1:17" x14ac:dyDescent="0.25">
      <c r="H606" s="12"/>
      <c r="I606" s="12"/>
      <c r="P606" s="4"/>
    </row>
    <row r="607" spans="1:17" x14ac:dyDescent="0.25">
      <c r="H607" s="12"/>
      <c r="I607" s="12"/>
      <c r="P607" s="4"/>
    </row>
    <row r="608" spans="1:17" x14ac:dyDescent="0.25">
      <c r="H608" s="12"/>
      <c r="I608" s="12"/>
      <c r="P608" s="4"/>
    </row>
    <row r="609" spans="8:9" x14ac:dyDescent="0.25">
      <c r="H609" s="12"/>
      <c r="I609" s="12"/>
    </row>
    <row r="610" spans="8:9" x14ac:dyDescent="0.25">
      <c r="H610" s="12"/>
      <c r="I610" s="12"/>
    </row>
    <row r="611" spans="8:9" x14ac:dyDescent="0.25">
      <c r="H611" s="12"/>
      <c r="I611" s="12"/>
    </row>
    <row r="612" spans="8:9" x14ac:dyDescent="0.25">
      <c r="H612" s="12"/>
      <c r="I612" s="12"/>
    </row>
  </sheetData>
  <mergeCells count="717">
    <mergeCell ref="K385:K388"/>
    <mergeCell ref="D409:D412"/>
    <mergeCell ref="A337:A340"/>
    <mergeCell ref="B337:B340"/>
    <mergeCell ref="C377:C380"/>
    <mergeCell ref="D377:D380"/>
    <mergeCell ref="K397:K400"/>
    <mergeCell ref="K401:K404"/>
    <mergeCell ref="K393:K396"/>
    <mergeCell ref="D349:D352"/>
    <mergeCell ref="K349:K352"/>
    <mergeCell ref="A349:A352"/>
    <mergeCell ref="K373:K376"/>
    <mergeCell ref="A373:A376"/>
    <mergeCell ref="B373:B376"/>
    <mergeCell ref="C373:C376"/>
    <mergeCell ref="D373:D376"/>
    <mergeCell ref="C357:C360"/>
    <mergeCell ref="A357:A360"/>
    <mergeCell ref="C369:C372"/>
    <mergeCell ref="A405:A408"/>
    <mergeCell ref="B405:B408"/>
    <mergeCell ref="A465:A468"/>
    <mergeCell ref="K449:K452"/>
    <mergeCell ref="C457:C460"/>
    <mergeCell ref="B449:B452"/>
    <mergeCell ref="D457:D460"/>
    <mergeCell ref="B445:B448"/>
    <mergeCell ref="C445:C448"/>
    <mergeCell ref="D445:D448"/>
    <mergeCell ref="A321:A324"/>
    <mergeCell ref="D389:D392"/>
    <mergeCell ref="D329:D332"/>
    <mergeCell ref="B321:B324"/>
    <mergeCell ref="C321:C324"/>
    <mergeCell ref="C325:C328"/>
    <mergeCell ref="D325:D328"/>
    <mergeCell ref="B325:B328"/>
    <mergeCell ref="C397:C400"/>
    <mergeCell ref="D397:D400"/>
    <mergeCell ref="D337:D340"/>
    <mergeCell ref="B437:B440"/>
    <mergeCell ref="C437:C440"/>
    <mergeCell ref="A409:A412"/>
    <mergeCell ref="B409:B412"/>
    <mergeCell ref="C409:C412"/>
    <mergeCell ref="C405:C408"/>
    <mergeCell ref="D405:D408"/>
    <mergeCell ref="C381:C384"/>
    <mergeCell ref="C341:C344"/>
    <mergeCell ref="D341:D344"/>
    <mergeCell ref="A381:A384"/>
    <mergeCell ref="B381:B384"/>
    <mergeCell ref="D381:D384"/>
    <mergeCell ref="A401:A404"/>
    <mergeCell ref="B401:B404"/>
    <mergeCell ref="C401:C404"/>
    <mergeCell ref="A393:A396"/>
    <mergeCell ref="B393:B396"/>
    <mergeCell ref="D401:D404"/>
    <mergeCell ref="D393:D396"/>
    <mergeCell ref="A397:A400"/>
    <mergeCell ref="C393:C396"/>
    <mergeCell ref="B397:B400"/>
    <mergeCell ref="A345:A348"/>
    <mergeCell ref="A353:A356"/>
    <mergeCell ref="A385:A388"/>
    <mergeCell ref="B385:B388"/>
    <mergeCell ref="D357:D360"/>
    <mergeCell ref="C385:C388"/>
    <mergeCell ref="B256:B259"/>
    <mergeCell ref="B297:B300"/>
    <mergeCell ref="K293:K296"/>
    <mergeCell ref="C176:C179"/>
    <mergeCell ref="K313:K316"/>
    <mergeCell ref="K309:K312"/>
    <mergeCell ref="A309:A312"/>
    <mergeCell ref="A389:A392"/>
    <mergeCell ref="B389:B392"/>
    <mergeCell ref="C389:C392"/>
    <mergeCell ref="K389:K392"/>
    <mergeCell ref="K337:K340"/>
    <mergeCell ref="A341:A344"/>
    <mergeCell ref="B341:B344"/>
    <mergeCell ref="B349:B352"/>
    <mergeCell ref="C337:C340"/>
    <mergeCell ref="B293:B296"/>
    <mergeCell ref="A317:A320"/>
    <mergeCell ref="B317:B320"/>
    <mergeCell ref="C317:C320"/>
    <mergeCell ref="D317:D320"/>
    <mergeCell ref="A333:A336"/>
    <mergeCell ref="D321:D324"/>
    <mergeCell ref="D385:D388"/>
    <mergeCell ref="K289:K292"/>
    <mergeCell ref="A269:A272"/>
    <mergeCell ref="B269:B272"/>
    <mergeCell ref="C269:C272"/>
    <mergeCell ref="A264:A267"/>
    <mergeCell ref="B264:B267"/>
    <mergeCell ref="C264:C267"/>
    <mergeCell ref="D264:D267"/>
    <mergeCell ref="K264:K267"/>
    <mergeCell ref="D277:D280"/>
    <mergeCell ref="K277:K280"/>
    <mergeCell ref="A277:A280"/>
    <mergeCell ref="A273:A276"/>
    <mergeCell ref="A281:A284"/>
    <mergeCell ref="B277:B280"/>
    <mergeCell ref="K172:K175"/>
    <mergeCell ref="A176:A179"/>
    <mergeCell ref="B176:B179"/>
    <mergeCell ref="K144:K147"/>
    <mergeCell ref="A152:A155"/>
    <mergeCell ref="B152:B155"/>
    <mergeCell ref="D148:D151"/>
    <mergeCell ref="K148:K151"/>
    <mergeCell ref="B144:B147"/>
    <mergeCell ref="C144:C147"/>
    <mergeCell ref="A160:A163"/>
    <mergeCell ref="A144:A147"/>
    <mergeCell ref="B160:B163"/>
    <mergeCell ref="C160:C163"/>
    <mergeCell ref="D160:D163"/>
    <mergeCell ref="K160:K163"/>
    <mergeCell ref="A148:A151"/>
    <mergeCell ref="B148:B151"/>
    <mergeCell ref="C148:C151"/>
    <mergeCell ref="K152:K155"/>
    <mergeCell ref="K168:K171"/>
    <mergeCell ref="D144:D147"/>
    <mergeCell ref="K116:K119"/>
    <mergeCell ref="B104:B107"/>
    <mergeCell ref="C104:C107"/>
    <mergeCell ref="A112:A115"/>
    <mergeCell ref="B112:B115"/>
    <mergeCell ref="D180:D183"/>
    <mergeCell ref="K164:K167"/>
    <mergeCell ref="A168:A171"/>
    <mergeCell ref="C132:C135"/>
    <mergeCell ref="D132:D135"/>
    <mergeCell ref="K132:K135"/>
    <mergeCell ref="A156:A159"/>
    <mergeCell ref="B156:B159"/>
    <mergeCell ref="C156:C159"/>
    <mergeCell ref="D156:D159"/>
    <mergeCell ref="K156:K159"/>
    <mergeCell ref="K180:K183"/>
    <mergeCell ref="A172:A175"/>
    <mergeCell ref="B172:B175"/>
    <mergeCell ref="C172:C175"/>
    <mergeCell ref="D172:D175"/>
    <mergeCell ref="B180:B183"/>
    <mergeCell ref="C180:C183"/>
    <mergeCell ref="K176:K179"/>
    <mergeCell ref="C519:C522"/>
    <mergeCell ref="D519:D522"/>
    <mergeCell ref="K519:K522"/>
    <mergeCell ref="A506:A509"/>
    <mergeCell ref="B506:B509"/>
    <mergeCell ref="C506:C509"/>
    <mergeCell ref="D506:D509"/>
    <mergeCell ref="K506:K509"/>
    <mergeCell ref="A502:A505"/>
    <mergeCell ref="B502:B505"/>
    <mergeCell ref="C502:C505"/>
    <mergeCell ref="D502:D505"/>
    <mergeCell ref="A515:A518"/>
    <mergeCell ref="B515:B518"/>
    <mergeCell ref="C515:C518"/>
    <mergeCell ref="D515:D518"/>
    <mergeCell ref="C510:C514"/>
    <mergeCell ref="D510:D514"/>
    <mergeCell ref="K515:K518"/>
    <mergeCell ref="A519:A522"/>
    <mergeCell ref="B519:B522"/>
    <mergeCell ref="A99:A103"/>
    <mergeCell ref="A498:A501"/>
    <mergeCell ref="B498:B501"/>
    <mergeCell ref="C498:C501"/>
    <mergeCell ref="D498:D501"/>
    <mergeCell ref="K498:K501"/>
    <mergeCell ref="B132:B135"/>
    <mergeCell ref="B99:B103"/>
    <mergeCell ref="C99:C103"/>
    <mergeCell ref="D99:D103"/>
    <mergeCell ref="K99:K103"/>
    <mergeCell ref="F102:F103"/>
    <mergeCell ref="A136:A139"/>
    <mergeCell ref="B136:B139"/>
    <mergeCell ref="C136:C139"/>
    <mergeCell ref="D136:D139"/>
    <mergeCell ref="K136:K139"/>
    <mergeCell ref="D104:D107"/>
    <mergeCell ref="K104:K107"/>
    <mergeCell ref="A104:A107"/>
    <mergeCell ref="A108:A111"/>
    <mergeCell ref="A232:A235"/>
    <mergeCell ref="B232:B235"/>
    <mergeCell ref="K108:K111"/>
    <mergeCell ref="A220:A223"/>
    <mergeCell ref="A240:A243"/>
    <mergeCell ref="B240:B243"/>
    <mergeCell ref="C240:C243"/>
    <mergeCell ref="D240:D243"/>
    <mergeCell ref="A236:A239"/>
    <mergeCell ref="D164:D167"/>
    <mergeCell ref="C152:C155"/>
    <mergeCell ref="D152:D155"/>
    <mergeCell ref="A164:A167"/>
    <mergeCell ref="B164:B167"/>
    <mergeCell ref="C164:C167"/>
    <mergeCell ref="B168:B171"/>
    <mergeCell ref="C168:C171"/>
    <mergeCell ref="D168:D171"/>
    <mergeCell ref="C188:C191"/>
    <mergeCell ref="D188:D191"/>
    <mergeCell ref="D176:D179"/>
    <mergeCell ref="D220:D223"/>
    <mergeCell ref="D232:D235"/>
    <mergeCell ref="B220:B223"/>
    <mergeCell ref="A98:K98"/>
    <mergeCell ref="A58:K58"/>
    <mergeCell ref="A59:A62"/>
    <mergeCell ref="B59:B62"/>
    <mergeCell ref="C59:C62"/>
    <mergeCell ref="D59:D62"/>
    <mergeCell ref="K59:K62"/>
    <mergeCell ref="A68:A71"/>
    <mergeCell ref="B68:B71"/>
    <mergeCell ref="B72:B75"/>
    <mergeCell ref="C72:C75"/>
    <mergeCell ref="D72:D75"/>
    <mergeCell ref="K72:K75"/>
    <mergeCell ref="C68:C71"/>
    <mergeCell ref="A85:A88"/>
    <mergeCell ref="C94:C97"/>
    <mergeCell ref="D94:D97"/>
    <mergeCell ref="K94:K97"/>
    <mergeCell ref="K76:K79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K54:K57"/>
    <mergeCell ref="K188:K191"/>
    <mergeCell ref="K196:K199"/>
    <mergeCell ref="A200:A203"/>
    <mergeCell ref="K140:K143"/>
    <mergeCell ref="K120:K123"/>
    <mergeCell ref="K124:K127"/>
    <mergeCell ref="A124:A127"/>
    <mergeCell ref="B124:B127"/>
    <mergeCell ref="C124:C127"/>
    <mergeCell ref="D124:D127"/>
    <mergeCell ref="A184:A187"/>
    <mergeCell ref="B184:B187"/>
    <mergeCell ref="C184:C187"/>
    <mergeCell ref="B192:B195"/>
    <mergeCell ref="C192:C195"/>
    <mergeCell ref="D192:D195"/>
    <mergeCell ref="D184:D187"/>
    <mergeCell ref="B200:B203"/>
    <mergeCell ref="C200:C203"/>
    <mergeCell ref="D200:D203"/>
    <mergeCell ref="A188:A191"/>
    <mergeCell ref="B188:B191"/>
    <mergeCell ref="A180:A183"/>
    <mergeCell ref="A140:A143"/>
    <mergeCell ref="K204:K207"/>
    <mergeCell ref="C216:C219"/>
    <mergeCell ref="D216:D219"/>
    <mergeCell ref="K216:K219"/>
    <mergeCell ref="K208:K211"/>
    <mergeCell ref="K212:K215"/>
    <mergeCell ref="A216:A219"/>
    <mergeCell ref="K192:K195"/>
    <mergeCell ref="A196:A199"/>
    <mergeCell ref="D212:D215"/>
    <mergeCell ref="A212:A215"/>
    <mergeCell ref="A208:A211"/>
    <mergeCell ref="B208:B211"/>
    <mergeCell ref="C208:C211"/>
    <mergeCell ref="D208:D211"/>
    <mergeCell ref="B212:B215"/>
    <mergeCell ref="C212:C215"/>
    <mergeCell ref="A192:A195"/>
    <mergeCell ref="B216:B219"/>
    <mergeCell ref="A204:A207"/>
    <mergeCell ref="B204:B207"/>
    <mergeCell ref="C204:C207"/>
    <mergeCell ref="D204:D207"/>
    <mergeCell ref="D116:D119"/>
    <mergeCell ref="B108:B111"/>
    <mergeCell ref="C108:C111"/>
    <mergeCell ref="D108:D111"/>
    <mergeCell ref="B140:B143"/>
    <mergeCell ref="C140:C143"/>
    <mergeCell ref="A132:A135"/>
    <mergeCell ref="D140:D143"/>
    <mergeCell ref="D120:D123"/>
    <mergeCell ref="K590:K595"/>
    <mergeCell ref="A590:A595"/>
    <mergeCell ref="B590:B595"/>
    <mergeCell ref="C590:C595"/>
    <mergeCell ref="D590:D595"/>
    <mergeCell ref="A572:A575"/>
    <mergeCell ref="B572:B575"/>
    <mergeCell ref="C572:C575"/>
    <mergeCell ref="D572:D575"/>
    <mergeCell ref="K572:K575"/>
    <mergeCell ref="A576:A579"/>
    <mergeCell ref="B576:B579"/>
    <mergeCell ref="C576:C579"/>
    <mergeCell ref="D576:D579"/>
    <mergeCell ref="K576:K579"/>
    <mergeCell ref="F593:F594"/>
    <mergeCell ref="A580:K580"/>
    <mergeCell ref="A581:A584"/>
    <mergeCell ref="D586:D589"/>
    <mergeCell ref="K586:K589"/>
    <mergeCell ref="A562:K562"/>
    <mergeCell ref="A563:A566"/>
    <mergeCell ref="B563:B566"/>
    <mergeCell ref="C563:C566"/>
    <mergeCell ref="D563:D566"/>
    <mergeCell ref="A567:K567"/>
    <mergeCell ref="A568:A571"/>
    <mergeCell ref="B568:B571"/>
    <mergeCell ref="C568:C571"/>
    <mergeCell ref="B581:B584"/>
    <mergeCell ref="C581:C584"/>
    <mergeCell ref="D581:D584"/>
    <mergeCell ref="K581:K584"/>
    <mergeCell ref="D568:D571"/>
    <mergeCell ref="K568:K571"/>
    <mergeCell ref="K563:K566"/>
    <mergeCell ref="A585:K585"/>
    <mergeCell ref="A586:A589"/>
    <mergeCell ref="B586:B589"/>
    <mergeCell ref="C586:C589"/>
    <mergeCell ref="K531:K534"/>
    <mergeCell ref="K523:K526"/>
    <mergeCell ref="A527:A530"/>
    <mergeCell ref="B527:B530"/>
    <mergeCell ref="C527:C530"/>
    <mergeCell ref="K527:K530"/>
    <mergeCell ref="D527:D530"/>
    <mergeCell ref="B531:B534"/>
    <mergeCell ref="B535:B538"/>
    <mergeCell ref="C535:C538"/>
    <mergeCell ref="D535:D538"/>
    <mergeCell ref="K535:K538"/>
    <mergeCell ref="D523:D526"/>
    <mergeCell ref="A481:A484"/>
    <mergeCell ref="B481:B484"/>
    <mergeCell ref="C481:C484"/>
    <mergeCell ref="D481:D484"/>
    <mergeCell ref="D465:D468"/>
    <mergeCell ref="K457:K460"/>
    <mergeCell ref="B465:B468"/>
    <mergeCell ref="C465:C468"/>
    <mergeCell ref="C449:C452"/>
    <mergeCell ref="D449:D452"/>
    <mergeCell ref="B461:B464"/>
    <mergeCell ref="C461:C464"/>
    <mergeCell ref="D461:D464"/>
    <mergeCell ref="A449:A452"/>
    <mergeCell ref="B453:B456"/>
    <mergeCell ref="C453:C456"/>
    <mergeCell ref="D453:D456"/>
    <mergeCell ref="A457:A460"/>
    <mergeCell ref="B469:B472"/>
    <mergeCell ref="B457:B460"/>
    <mergeCell ref="A453:A456"/>
    <mergeCell ref="K453:K456"/>
    <mergeCell ref="A461:A464"/>
    <mergeCell ref="K461:K464"/>
    <mergeCell ref="A260:A263"/>
    <mergeCell ref="B260:B263"/>
    <mergeCell ref="C260:C263"/>
    <mergeCell ref="D260:D263"/>
    <mergeCell ref="K260:K263"/>
    <mergeCell ref="C112:C115"/>
    <mergeCell ref="D112:D115"/>
    <mergeCell ref="K112:K115"/>
    <mergeCell ref="A128:A131"/>
    <mergeCell ref="B128:B131"/>
    <mergeCell ref="C128:C131"/>
    <mergeCell ref="D128:D131"/>
    <mergeCell ref="K128:K131"/>
    <mergeCell ref="A120:A123"/>
    <mergeCell ref="B120:B123"/>
    <mergeCell ref="C120:C123"/>
    <mergeCell ref="K184:K187"/>
    <mergeCell ref="B224:B227"/>
    <mergeCell ref="C224:C227"/>
    <mergeCell ref="D224:D227"/>
    <mergeCell ref="K224:K227"/>
    <mergeCell ref="A116:A119"/>
    <mergeCell ref="B116:B119"/>
    <mergeCell ref="C116:C119"/>
    <mergeCell ref="C23:C27"/>
    <mergeCell ref="D23:D27"/>
    <mergeCell ref="A28:A32"/>
    <mergeCell ref="F14:F15"/>
    <mergeCell ref="A17:K17"/>
    <mergeCell ref="A18:A22"/>
    <mergeCell ref="K23:K27"/>
    <mergeCell ref="B28:B32"/>
    <mergeCell ref="C28:C32"/>
    <mergeCell ref="D28:D32"/>
    <mergeCell ref="K28:K32"/>
    <mergeCell ref="C252:C255"/>
    <mergeCell ref="C248:C251"/>
    <mergeCell ref="D248:D251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K321:K324"/>
    <mergeCell ref="B329:B332"/>
    <mergeCell ref="C293:C296"/>
    <mergeCell ref="C329:C332"/>
    <mergeCell ref="A325:A328"/>
    <mergeCell ref="K228:K231"/>
    <mergeCell ref="B281:B284"/>
    <mergeCell ref="C281:C284"/>
    <mergeCell ref="K297:K300"/>
    <mergeCell ref="K285:K288"/>
    <mergeCell ref="K325:K328"/>
    <mergeCell ref="A268:K268"/>
    <mergeCell ref="A256:A259"/>
    <mergeCell ref="D281:D284"/>
    <mergeCell ref="K281:K284"/>
    <mergeCell ref="K301:K304"/>
    <mergeCell ref="A289:A292"/>
    <mergeCell ref="A228:A231"/>
    <mergeCell ref="A244:A247"/>
    <mergeCell ref="A248:A251"/>
    <mergeCell ref="B248:B251"/>
    <mergeCell ref="A252:A255"/>
    <mergeCell ref="B252:B255"/>
    <mergeCell ref="K273:K276"/>
    <mergeCell ref="A329:A332"/>
    <mergeCell ref="A297:A300"/>
    <mergeCell ref="A305:A308"/>
    <mergeCell ref="A285:A288"/>
    <mergeCell ref="D293:D296"/>
    <mergeCell ref="D285:D288"/>
    <mergeCell ref="D289:D292"/>
    <mergeCell ref="C289:C292"/>
    <mergeCell ref="A293:A296"/>
    <mergeCell ref="B285:B288"/>
    <mergeCell ref="C285:C288"/>
    <mergeCell ref="D313:D316"/>
    <mergeCell ref="B305:B308"/>
    <mergeCell ref="C305:C308"/>
    <mergeCell ref="D305:D308"/>
    <mergeCell ref="B289:B292"/>
    <mergeCell ref="A301:A304"/>
    <mergeCell ref="D309:D312"/>
    <mergeCell ref="C297:C300"/>
    <mergeCell ref="D297:D300"/>
    <mergeCell ref="A313:A316"/>
    <mergeCell ref="B313:B316"/>
    <mergeCell ref="C313:C316"/>
    <mergeCell ref="B301:B304"/>
    <mergeCell ref="D301:D304"/>
    <mergeCell ref="K200:K203"/>
    <mergeCell ref="D244:D247"/>
    <mergeCell ref="K244:K247"/>
    <mergeCell ref="D269:D272"/>
    <mergeCell ref="K269:K272"/>
    <mergeCell ref="B244:B247"/>
    <mergeCell ref="C244:C247"/>
    <mergeCell ref="K240:K243"/>
    <mergeCell ref="B273:B276"/>
    <mergeCell ref="C273:C276"/>
    <mergeCell ref="B228:B231"/>
    <mergeCell ref="C228:C231"/>
    <mergeCell ref="D228:D231"/>
    <mergeCell ref="D273:D276"/>
    <mergeCell ref="C277:C280"/>
    <mergeCell ref="K232:K235"/>
    <mergeCell ref="C256:C259"/>
    <mergeCell ref="D256:D259"/>
    <mergeCell ref="D252:D255"/>
    <mergeCell ref="K256:K259"/>
    <mergeCell ref="K248:K251"/>
    <mergeCell ref="C232:C235"/>
    <mergeCell ref="K252:K255"/>
    <mergeCell ref="K220:K223"/>
    <mergeCell ref="C220:C223"/>
    <mergeCell ref="C81:C84"/>
    <mergeCell ref="K329:K332"/>
    <mergeCell ref="B309:B312"/>
    <mergeCell ref="D68:D71"/>
    <mergeCell ref="K68:K71"/>
    <mergeCell ref="A72:A75"/>
    <mergeCell ref="B85:B88"/>
    <mergeCell ref="B89:B92"/>
    <mergeCell ref="D81:D84"/>
    <mergeCell ref="C85:C88"/>
    <mergeCell ref="D85:D88"/>
    <mergeCell ref="C89:C92"/>
    <mergeCell ref="D89:D92"/>
    <mergeCell ref="K81:K84"/>
    <mergeCell ref="K85:K88"/>
    <mergeCell ref="K89:K92"/>
    <mergeCell ref="A93:K93"/>
    <mergeCell ref="A94:A97"/>
    <mergeCell ref="B94:B97"/>
    <mergeCell ref="A80:K80"/>
    <mergeCell ref="A81:A84"/>
    <mergeCell ref="C301:C304"/>
    <mergeCell ref="D369:D372"/>
    <mergeCell ref="B361:B364"/>
    <mergeCell ref="A89:A92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76:A79"/>
    <mergeCell ref="B76:B79"/>
    <mergeCell ref="C76:C79"/>
    <mergeCell ref="D76:D79"/>
    <mergeCell ref="B81:B84"/>
    <mergeCell ref="K305:K308"/>
    <mergeCell ref="K357:K360"/>
    <mergeCell ref="B196:B199"/>
    <mergeCell ref="C196:C199"/>
    <mergeCell ref="D196:D199"/>
    <mergeCell ref="B333:B336"/>
    <mergeCell ref="C333:C336"/>
    <mergeCell ref="D333:D336"/>
    <mergeCell ref="B345:B348"/>
    <mergeCell ref="C345:C348"/>
    <mergeCell ref="D345:D348"/>
    <mergeCell ref="K345:K348"/>
    <mergeCell ref="B353:B356"/>
    <mergeCell ref="C353:C356"/>
    <mergeCell ref="D353:D356"/>
    <mergeCell ref="K353:K356"/>
    <mergeCell ref="B236:B239"/>
    <mergeCell ref="C236:C239"/>
    <mergeCell ref="D236:D239"/>
    <mergeCell ref="K236:K239"/>
    <mergeCell ref="K341:K344"/>
    <mergeCell ref="C349:C352"/>
    <mergeCell ref="C309:C312"/>
    <mergeCell ref="K333:K336"/>
    <mergeCell ref="K317:K320"/>
    <mergeCell ref="K377:K380"/>
    <mergeCell ref="C361:C364"/>
    <mergeCell ref="K369:K372"/>
    <mergeCell ref="D429:D432"/>
    <mergeCell ref="B413:B416"/>
    <mergeCell ref="K405:K408"/>
    <mergeCell ref="A417:A420"/>
    <mergeCell ref="B417:B420"/>
    <mergeCell ref="C417:C420"/>
    <mergeCell ref="A369:A372"/>
    <mergeCell ref="B369:B372"/>
    <mergeCell ref="C365:C368"/>
    <mergeCell ref="D365:D368"/>
    <mergeCell ref="B377:B380"/>
    <mergeCell ref="K409:K412"/>
    <mergeCell ref="A413:A416"/>
    <mergeCell ref="D425:D428"/>
    <mergeCell ref="K381:K384"/>
    <mergeCell ref="A377:A380"/>
    <mergeCell ref="A429:A432"/>
    <mergeCell ref="A425:A428"/>
    <mergeCell ref="K429:K432"/>
    <mergeCell ref="B425:B428"/>
    <mergeCell ref="C425:C428"/>
    <mergeCell ref="D413:D416"/>
    <mergeCell ref="K413:K416"/>
    <mergeCell ref="A437:A440"/>
    <mergeCell ref="A441:A444"/>
    <mergeCell ref="B441:B444"/>
    <mergeCell ref="K425:K428"/>
    <mergeCell ref="D417:D420"/>
    <mergeCell ref="K417:K420"/>
    <mergeCell ref="B433:B436"/>
    <mergeCell ref="C433:C436"/>
    <mergeCell ref="D433:D436"/>
    <mergeCell ref="K433:K436"/>
    <mergeCell ref="C413:C416"/>
    <mergeCell ref="D437:D440"/>
    <mergeCell ref="K437:K440"/>
    <mergeCell ref="A433:A436"/>
    <mergeCell ref="C441:C444"/>
    <mergeCell ref="A421:A424"/>
    <mergeCell ref="B421:B424"/>
    <mergeCell ref="C421:C424"/>
    <mergeCell ref="D421:D424"/>
    <mergeCell ref="K421:K424"/>
    <mergeCell ref="B429:B432"/>
    <mergeCell ref="C429:C432"/>
    <mergeCell ref="A554:A557"/>
    <mergeCell ref="B554:B557"/>
    <mergeCell ref="C554:C557"/>
    <mergeCell ref="D554:D557"/>
    <mergeCell ref="K554:K557"/>
    <mergeCell ref="A543:A546"/>
    <mergeCell ref="B543:B546"/>
    <mergeCell ref="C543:C546"/>
    <mergeCell ref="D543:D546"/>
    <mergeCell ref="K543:K546"/>
    <mergeCell ref="A489:A492"/>
    <mergeCell ref="B489:B492"/>
    <mergeCell ref="C489:C492"/>
    <mergeCell ref="D489:D492"/>
    <mergeCell ref="K489:K492"/>
    <mergeCell ref="K502:K505"/>
    <mergeCell ref="A510:A514"/>
    <mergeCell ref="B510:B514"/>
    <mergeCell ref="K441:K444"/>
    <mergeCell ref="K445:K448"/>
    <mergeCell ref="K481:K484"/>
    <mergeCell ref="D473:D476"/>
    <mergeCell ref="K473:K476"/>
    <mergeCell ref="K510:K514"/>
    <mergeCell ref="A493:K493"/>
    <mergeCell ref="A494:A497"/>
    <mergeCell ref="A473:A476"/>
    <mergeCell ref="B473:B476"/>
    <mergeCell ref="K477:K480"/>
    <mergeCell ref="C469:C472"/>
    <mergeCell ref="D469:D472"/>
    <mergeCell ref="K469:K472"/>
    <mergeCell ref="A445:A448"/>
    <mergeCell ref="D441:D444"/>
    <mergeCell ref="A558:A561"/>
    <mergeCell ref="A547:K547"/>
    <mergeCell ref="B494:B497"/>
    <mergeCell ref="C494:C497"/>
    <mergeCell ref="A477:A480"/>
    <mergeCell ref="B477:B480"/>
    <mergeCell ref="C477:C480"/>
    <mergeCell ref="D477:D480"/>
    <mergeCell ref="D494:D497"/>
    <mergeCell ref="K494:K497"/>
    <mergeCell ref="A535:A538"/>
    <mergeCell ref="A523:A526"/>
    <mergeCell ref="B523:B526"/>
    <mergeCell ref="C523:C526"/>
    <mergeCell ref="A531:A534"/>
    <mergeCell ref="C531:C534"/>
    <mergeCell ref="D531:D534"/>
    <mergeCell ref="A553:K553"/>
    <mergeCell ref="A539:A542"/>
    <mergeCell ref="B539:B542"/>
    <mergeCell ref="C539:C542"/>
    <mergeCell ref="D539:D542"/>
    <mergeCell ref="K539:K542"/>
    <mergeCell ref="B558:B561"/>
    <mergeCell ref="C558:C561"/>
    <mergeCell ref="D558:D561"/>
    <mergeCell ref="K558:K561"/>
    <mergeCell ref="A361:A364"/>
    <mergeCell ref="D361:D364"/>
    <mergeCell ref="K361:K364"/>
    <mergeCell ref="A365:A368"/>
    <mergeCell ref="B365:B368"/>
    <mergeCell ref="A224:A227"/>
    <mergeCell ref="K365:K368"/>
    <mergeCell ref="B357:B360"/>
    <mergeCell ref="A548:A552"/>
    <mergeCell ref="B548:B552"/>
    <mergeCell ref="C548:C552"/>
    <mergeCell ref="D548:D552"/>
    <mergeCell ref="K548:K552"/>
    <mergeCell ref="A485:A488"/>
    <mergeCell ref="B485:B488"/>
    <mergeCell ref="K465:K468"/>
    <mergeCell ref="A469:A472"/>
    <mergeCell ref="C473:C476"/>
    <mergeCell ref="C485:C488"/>
    <mergeCell ref="D485:D488"/>
    <mergeCell ref="K485:K488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31" manualBreakCount="31">
    <brk id="30" max="10" man="1"/>
    <brk id="47" max="10" man="1"/>
    <brk id="79" max="10" man="1"/>
    <brk id="97" max="10" man="1"/>
    <brk id="115" max="10" man="1"/>
    <brk id="135" max="10" man="1"/>
    <brk id="155" max="10" man="1"/>
    <brk id="179" max="10" man="1"/>
    <brk id="203" max="10" man="1"/>
    <brk id="219" max="10" man="1"/>
    <brk id="231" max="10" man="1"/>
    <brk id="251" max="10" man="1"/>
    <brk id="275" max="10" man="1"/>
    <brk id="288" max="10" man="1"/>
    <brk id="300" max="10" man="1"/>
    <brk id="308" max="10" man="1"/>
    <brk id="328" max="10" man="1"/>
    <brk id="344" max="10" man="1"/>
    <brk id="356" max="10" man="1"/>
    <brk id="368" max="10" man="1"/>
    <brk id="380" max="10" man="1"/>
    <brk id="396" max="10" man="1"/>
    <brk id="408" max="10" man="1"/>
    <brk id="424" max="10" man="1"/>
    <brk id="444" max="10" man="1"/>
    <brk id="468" max="10" man="1"/>
    <brk id="492" max="9" man="1"/>
    <brk id="518" max="10" man="1"/>
    <brk id="538" max="10" man="1"/>
    <brk id="566" max="10" man="1"/>
    <brk id="5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23.06.2025</vt:lpstr>
      <vt:lpstr>'23.06.2025'!Область_печати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2025-06-27T12:19:02Z</dcterms:modified>
</cp:coreProperties>
</file>